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DieseArbeitsmappe"/>
  <mc:AlternateContent xmlns:mc="http://schemas.openxmlformats.org/markup-compatibility/2006">
    <mc:Choice Requires="x15">
      <x15ac:absPath xmlns:x15ac="http://schemas.microsoft.com/office/spreadsheetml/2010/11/ac" url="M:\MitarbeiterInnen\MHA\02_Projekte &amp; Co\Energieholz\"/>
    </mc:Choice>
  </mc:AlternateContent>
  <bookViews>
    <workbookView xWindow="0" yWindow="0" windowWidth="28800" windowHeight="12300"/>
  </bookViews>
  <sheets>
    <sheet name="Einführung" sheetId="6" r:id="rId1"/>
    <sheet name="Kalkulation" sheetId="1" r:id="rId2"/>
    <sheet name="Datenblatt" sheetId="2" r:id="rId3"/>
    <sheet name="Anmerkungen" sheetId="5" r:id="rId4"/>
    <sheet name="hilf" sheetId="3" state="hidden" r:id="rId5"/>
  </sheets>
  <definedNames>
    <definedName name="_xlnm._FilterDatabase" localSheetId="1" hidden="1">Kalkulation!$V$24:$V$25</definedName>
    <definedName name="_xlnm.Print_Area" localSheetId="2">Datenblatt!$A$2:$W$89</definedName>
    <definedName name="_xlnm.Print_Area" localSheetId="1">Kalkulation!$C$2:$R$66</definedName>
    <definedName name="Endenergie">Kalkulation!$F$56</definedName>
    <definedName name="Nutzenergie">Kalkulation!$F$56</definedName>
    <definedName name="Z_C0AD46E2_DB76_44EC_B12C_0C3D37E94F1D_.wvu.Cols" localSheetId="1" hidden="1">Kalkulation!$T:$AF</definedName>
    <definedName name="Z_C0AD46E2_DB76_44EC_B12C_0C3D37E94F1D_.wvu.FilterData" localSheetId="1" hidden="1">Kalkulation!$V$24:$V$25</definedName>
    <definedName name="Z_C0AD46E2_DB76_44EC_B12C_0C3D37E94F1D_.wvu.PrintArea" localSheetId="2" hidden="1">Datenblatt!$A$2:$W$89</definedName>
    <definedName name="Z_C0AD46E2_DB76_44EC_B12C_0C3D37E94F1D_.wvu.PrintArea" localSheetId="1" hidden="1">Kalkulation!$C$2:$R$66</definedName>
  </definedNames>
  <calcPr calcId="162913"/>
  <customWorkbookViews>
    <customWorkbookView name="Goritschnig Wolfgang - Persönliche Ansicht" guid="{C0AD46E2-DB76-44EC-B12C-0C3D37E94F1D}" mergeInterval="0" personalView="1" maximized="1" xWindow="1358" yWindow="-8" windowWidth="1936" windowHeight="1056" activeSheetId="1"/>
  </customWorkbookViews>
</workbook>
</file>

<file path=xl/calcChain.xml><?xml version="1.0" encoding="utf-8"?>
<calcChain xmlns="http://schemas.openxmlformats.org/spreadsheetml/2006/main">
  <c r="R53" i="1" l="1"/>
  <c r="F53" i="1" l="1"/>
  <c r="I15" i="1" l="1"/>
  <c r="I14" i="1"/>
  <c r="H16" i="1" l="1"/>
  <c r="I16" i="1"/>
  <c r="J16" i="1"/>
  <c r="R45" i="1" l="1"/>
  <c r="P44" i="1"/>
  <c r="N44" i="1"/>
  <c r="L44" i="1"/>
  <c r="I42" i="1"/>
  <c r="J44" i="1"/>
  <c r="L16" i="1"/>
  <c r="N16" i="1"/>
  <c r="I43" i="1" l="1"/>
  <c r="H18" i="1" l="1"/>
  <c r="F56" i="1" l="1"/>
  <c r="I56" i="1" s="1"/>
  <c r="F55" i="1"/>
  <c r="N56" i="1"/>
  <c r="N65" i="1" s="1"/>
  <c r="P56" i="1" l="1"/>
  <c r="J56" i="1"/>
  <c r="L56" i="1"/>
  <c r="H56" i="1"/>
  <c r="N50" i="1"/>
  <c r="P50" i="1"/>
  <c r="R50" i="1" l="1"/>
  <c r="AA36" i="1" l="1"/>
  <c r="Z21" i="1"/>
  <c r="Y21" i="1" s="1"/>
  <c r="AA21" i="1" l="1"/>
  <c r="AA17" i="1" l="1"/>
  <c r="AA25" i="1" l="1"/>
  <c r="AA24" i="1" s="1"/>
  <c r="AA22" i="1"/>
  <c r="AA23" i="1" s="1"/>
  <c r="AE23" i="1" s="1"/>
  <c r="Z17" i="1" l="1"/>
  <c r="Z22" i="1" l="1"/>
  <c r="Z23" i="1" s="1"/>
  <c r="Z25" i="1"/>
  <c r="Z24" i="1" l="1"/>
  <c r="R56" i="1"/>
  <c r="R62" i="1" s="1"/>
  <c r="J54" i="1"/>
  <c r="L54" i="1"/>
  <c r="N54" i="1"/>
  <c r="I54" i="1"/>
  <c r="AB14" i="1" l="1"/>
  <c r="AB17" i="1"/>
  <c r="AB20" i="1"/>
  <c r="N20" i="1"/>
  <c r="AB11" i="1"/>
  <c r="X13" i="1" s="1"/>
  <c r="R46" i="1"/>
  <c r="M63" i="1"/>
  <c r="O63" i="1"/>
  <c r="AA31" i="1"/>
  <c r="Z31" i="1"/>
  <c r="Z27" i="1" s="1"/>
  <c r="Z26" i="1" s="1"/>
  <c r="AB21" i="1" l="1"/>
  <c r="AA34" i="1"/>
  <c r="AA27" i="1"/>
  <c r="AA26" i="1" s="1"/>
  <c r="AA33" i="1"/>
  <c r="AA32" i="1"/>
  <c r="Z34" i="1" l="1"/>
  <c r="AA11" i="1"/>
  <c r="R15" i="1" s="1"/>
  <c r="Z11" i="1"/>
  <c r="R17" i="1" l="1"/>
  <c r="R16" i="1" s="1"/>
  <c r="R20" i="1"/>
  <c r="P20" i="1"/>
  <c r="P18" i="1"/>
  <c r="P36" i="1"/>
  <c r="P12" i="1"/>
  <c r="P17" i="1"/>
  <c r="P16" i="1" s="1"/>
  <c r="P30" i="1"/>
  <c r="P29" i="1"/>
  <c r="P15" i="1"/>
  <c r="Z33" i="1"/>
  <c r="Z32" i="1"/>
  <c r="H12" i="1"/>
  <c r="I12" i="1"/>
  <c r="J12" i="1"/>
  <c r="L12" i="1"/>
  <c r="N12" i="1"/>
  <c r="AB12" i="1" s="1"/>
  <c r="R12" i="1" s="1"/>
  <c r="H14" i="1"/>
  <c r="J14" i="1"/>
  <c r="L14" i="1"/>
  <c r="H15" i="1"/>
  <c r="J15" i="1"/>
  <c r="L15" i="1"/>
  <c r="N15" i="1"/>
  <c r="AB15" i="1" s="1"/>
  <c r="I18" i="1"/>
  <c r="J18" i="1"/>
  <c r="L18" i="1"/>
  <c r="N18" i="1"/>
  <c r="H20" i="1"/>
  <c r="H21" i="1" s="1"/>
  <c r="I20" i="1"/>
  <c r="J20" i="1"/>
  <c r="J21" i="1" s="1"/>
  <c r="L20" i="1"/>
  <c r="H29" i="1"/>
  <c r="I29" i="1"/>
  <c r="J29" i="1"/>
  <c r="L29" i="1"/>
  <c r="N29" i="1"/>
  <c r="H30" i="1"/>
  <c r="I30" i="1"/>
  <c r="J30" i="1"/>
  <c r="L30" i="1"/>
  <c r="N30" i="1"/>
  <c r="AB30" i="1" s="1"/>
  <c r="R30" i="1" s="1"/>
  <c r="H36" i="1"/>
  <c r="I36" i="1"/>
  <c r="J36" i="1"/>
  <c r="L36" i="1"/>
  <c r="N36" i="1"/>
  <c r="AB36" i="1" s="1"/>
  <c r="R36" i="1" s="1"/>
  <c r="L21" i="1" l="1"/>
  <c r="L23" i="1"/>
  <c r="L22" i="1" s="1"/>
  <c r="P23" i="1"/>
  <c r="P22" i="1" s="1"/>
  <c r="P31" i="1"/>
  <c r="P25" i="1"/>
  <c r="P21" i="1"/>
  <c r="AB29" i="1"/>
  <c r="R29" i="1" s="1"/>
  <c r="R31" i="1" s="1"/>
  <c r="N31" i="1"/>
  <c r="N33" i="1" s="1"/>
  <c r="AB18" i="1"/>
  <c r="N25" i="1"/>
  <c r="R21" i="1"/>
  <c r="J23" i="1"/>
  <c r="J22" i="1" s="1"/>
  <c r="I25" i="1"/>
  <c r="I31" i="1"/>
  <c r="I32" i="1" s="1"/>
  <c r="N23" i="1"/>
  <c r="N22" i="1" s="1"/>
  <c r="H25" i="1"/>
  <c r="L31" i="1"/>
  <c r="L32" i="1" s="1"/>
  <c r="N21" i="1"/>
  <c r="J25" i="1"/>
  <c r="J24" i="1" s="1"/>
  <c r="H23" i="1"/>
  <c r="H22" i="1" s="1"/>
  <c r="J31" i="1"/>
  <c r="I23" i="1"/>
  <c r="I22" i="1" s="1"/>
  <c r="L25" i="1"/>
  <c r="L24" i="1" s="1"/>
  <c r="H31" i="1"/>
  <c r="H32" i="1" s="1"/>
  <c r="I21" i="1"/>
  <c r="J34" i="1" l="1"/>
  <c r="J32" i="1"/>
  <c r="H43" i="1"/>
  <c r="H42" i="1"/>
  <c r="I24" i="1"/>
  <c r="I45" i="1"/>
  <c r="H45" i="1"/>
  <c r="H46" i="1" s="1"/>
  <c r="H24" i="1"/>
  <c r="R18" i="1"/>
  <c r="R25" i="1" s="1"/>
  <c r="AB25" i="1"/>
  <c r="AB23" i="1"/>
  <c r="AB22" i="1" s="1"/>
  <c r="N27" i="1"/>
  <c r="P24" i="1"/>
  <c r="P27" i="1"/>
  <c r="P32" i="1"/>
  <c r="P34" i="1"/>
  <c r="P33" i="1"/>
  <c r="AB31" i="1"/>
  <c r="L33" i="1"/>
  <c r="L27" i="1"/>
  <c r="J33" i="1"/>
  <c r="N34" i="1"/>
  <c r="J27" i="1"/>
  <c r="N32" i="1"/>
  <c r="I33" i="1"/>
  <c r="N24" i="1"/>
  <c r="I34" i="1"/>
  <c r="I27" i="1"/>
  <c r="I57" i="1" s="1"/>
  <c r="L34" i="1"/>
  <c r="H27" i="1"/>
  <c r="H44" i="1" s="1"/>
  <c r="H33" i="1"/>
  <c r="H34" i="1"/>
  <c r="J42" i="1" l="1"/>
  <c r="J43" i="1"/>
  <c r="J45" i="1"/>
  <c r="J46" i="1" s="1"/>
  <c r="P26" i="1"/>
  <c r="P45" i="1"/>
  <c r="P42" i="1"/>
  <c r="P43" i="1"/>
  <c r="I62" i="1"/>
  <c r="I46" i="1"/>
  <c r="R24" i="1"/>
  <c r="R42" i="1"/>
  <c r="R43" i="1"/>
  <c r="I44" i="1"/>
  <c r="L26" i="1"/>
  <c r="L42" i="1"/>
  <c r="L45" i="1"/>
  <c r="L46" i="1" s="1"/>
  <c r="L43" i="1"/>
  <c r="N26" i="1"/>
  <c r="N43" i="1"/>
  <c r="N42" i="1"/>
  <c r="N45" i="1"/>
  <c r="N46" i="1" s="1"/>
  <c r="H62" i="1"/>
  <c r="H57" i="1"/>
  <c r="H58" i="1" s="1"/>
  <c r="R23" i="1"/>
  <c r="R22" i="1" s="1"/>
  <c r="AB27" i="1"/>
  <c r="AB26" i="1" s="1"/>
  <c r="AB24" i="1"/>
  <c r="R33" i="1"/>
  <c r="R32" i="1"/>
  <c r="R34" i="1"/>
  <c r="AB34" i="1"/>
  <c r="AB32" i="1"/>
  <c r="AB33" i="1"/>
  <c r="R27" i="1"/>
  <c r="R44" i="1" s="1"/>
  <c r="J26" i="1"/>
  <c r="I26" i="1"/>
  <c r="H26" i="1"/>
  <c r="P62" i="1" l="1"/>
  <c r="P46" i="1"/>
  <c r="H59" i="1"/>
  <c r="H51" i="1" s="1"/>
  <c r="R57" i="1"/>
  <c r="R51" i="1" s="1"/>
  <c r="R63" i="1" s="1"/>
  <c r="R26" i="1"/>
  <c r="N62" i="1"/>
  <c r="L62" i="1"/>
  <c r="J62" i="1"/>
  <c r="F62" i="1" l="1"/>
  <c r="R58" i="1"/>
  <c r="R59" i="1"/>
  <c r="R60" i="1" s="1"/>
  <c r="R61" i="1" s="1"/>
  <c r="R64" i="1"/>
  <c r="R65" i="1" s="1"/>
  <c r="L57" i="1"/>
  <c r="L59" i="1" s="1"/>
  <c r="J57" i="1"/>
  <c r="N57" i="1"/>
  <c r="P57" i="1"/>
  <c r="P51" i="1" s="1"/>
  <c r="P63" i="1" s="1"/>
  <c r="J59" i="1" l="1"/>
  <c r="J51" i="1" s="1"/>
  <c r="J63" i="1" s="1"/>
  <c r="F57" i="1"/>
  <c r="N59" i="1"/>
  <c r="N60" i="1" s="1"/>
  <c r="N61" i="1" s="1"/>
  <c r="N58" i="1"/>
  <c r="J58" i="1"/>
  <c r="L58" i="1"/>
  <c r="L60" i="1"/>
  <c r="L61" i="1" s="1"/>
  <c r="L51" i="1"/>
  <c r="L63" i="1" s="1"/>
  <c r="I59" i="1"/>
  <c r="I58" i="1"/>
  <c r="P64" i="1"/>
  <c r="P65" i="1" s="1"/>
  <c r="P59" i="1"/>
  <c r="P60" i="1" s="1"/>
  <c r="P61" i="1" s="1"/>
  <c r="H63" i="1"/>
  <c r="P58" i="1"/>
  <c r="J60" i="1" l="1"/>
  <c r="J61" i="1" s="1"/>
  <c r="N51" i="1"/>
  <c r="N63" i="1" s="1"/>
  <c r="N64" i="1" s="1"/>
  <c r="L64" i="1"/>
  <c r="L65" i="1" s="1"/>
  <c r="I60" i="1"/>
  <c r="I61" i="1" s="1"/>
  <c r="I51" i="1"/>
  <c r="I63" i="1" s="1"/>
  <c r="F58" i="1"/>
  <c r="J64" i="1"/>
  <c r="J65" i="1" s="1"/>
  <c r="H60" i="1"/>
  <c r="F59" i="1"/>
  <c r="H64" i="1"/>
  <c r="H65" i="1" s="1"/>
  <c r="I64" i="1" l="1"/>
  <c r="I65" i="1" s="1"/>
  <c r="F63" i="1"/>
  <c r="F64" i="1" s="1"/>
  <c r="F65" i="1" s="1"/>
  <c r="H61" i="1"/>
  <c r="F61" i="1" s="1"/>
  <c r="F60" i="1"/>
</calcChain>
</file>

<file path=xl/comments1.xml><?xml version="1.0" encoding="utf-8"?>
<comments xmlns="http://schemas.openxmlformats.org/spreadsheetml/2006/main">
  <authors>
    <author>Kasimir P. Nemestothy</author>
    <author xml:space="preserve"> kpn</author>
    <author>nope</author>
    <author>Tretter Herbert</author>
    <author>nem</author>
  </authors>
  <commentList>
    <comment ref="F11" authorId="0" shapeId="0">
      <text>
        <r>
          <rPr>
            <b/>
            <sz val="8"/>
            <color indexed="81"/>
            <rFont val="Tahoma"/>
            <family val="2"/>
          </rPr>
          <t>Holz- bzw. Brennstoffart</t>
        </r>
        <r>
          <rPr>
            <sz val="8"/>
            <color indexed="81"/>
            <rFont val="Tahoma"/>
            <family val="2"/>
          </rPr>
          <t xml:space="preserve">
Wählen Sie hier eine Holz- bzw. Brennstoffart aus dem Drop-Down-Menü aus bzw. geben Sie im Bereich "Sonstige" eine gewünschte Brennstoffart ein.
Die Auswahlmöglichkeiten des Drop-Down-Menüs sind auch im Datenblatt in der ersten Spalte ("Holz- bzw. Brennstoffart") ersichtlich.</t>
        </r>
      </text>
    </comment>
    <comment ref="F12" authorId="0" shapeId="0">
      <text>
        <r>
          <rPr>
            <b/>
            <sz val="8"/>
            <color indexed="81"/>
            <rFont val="Tahoma"/>
            <family val="2"/>
          </rPr>
          <t>Brennstoffgruppe</t>
        </r>
        <r>
          <rPr>
            <sz val="8"/>
            <color indexed="81"/>
            <rFont val="Tahoma"/>
            <family val="2"/>
          </rPr>
          <t xml:space="preserve">
Die Zuordnung der Brennstoffe zu den Brennstoffgruppen "Nadelholz", "Laubholz", "NH Mischung", "LH Mischung", "NH &amp; LH Mischung", "Rinde NH", "Rinde LH" oder "Presslinge" wird  vom Datenblatt übernommen.
Im Bereich "Sonstige" kann die gewünschte Brennstoffgruppe frei eingegeben werden.</t>
        </r>
        <r>
          <rPr>
            <sz val="8"/>
            <color indexed="81"/>
            <rFont val="Tahoma"/>
            <family val="2"/>
          </rPr>
          <t xml:space="preserve">
</t>
        </r>
      </text>
    </comment>
    <comment ref="F13" authorId="0" shapeId="0">
      <text>
        <r>
          <rPr>
            <b/>
            <sz val="8"/>
            <color indexed="81"/>
            <rFont val="Tahoma"/>
            <family val="2"/>
          </rPr>
          <t>Sortiment</t>
        </r>
        <r>
          <rPr>
            <sz val="8"/>
            <color indexed="81"/>
            <rFont val="Tahoma"/>
            <family val="2"/>
          </rPr>
          <t xml:space="preserve">
Wählen Sie hier das Sortiment aus dem Drop-Down-Menü aus. Die Liste der wählbaren Energieholzsortimente im Drop-Down-Menü orientiert sich an den Normen ÖNORM M 7132, ÖNORM M 7133 und ÖNORM M 7135.
Im Bereich "Sonstige" können Sie ein gewünschtes Sortiment gemäß eigener Erfahrungswerte oder Informationsquellen eingeben.
</t>
        </r>
      </text>
    </comment>
    <comment ref="F14" authorId="0" shapeId="0">
      <text>
        <r>
          <rPr>
            <b/>
            <sz val="8"/>
            <color indexed="81"/>
            <rFont val="Tahoma"/>
            <family val="2"/>
          </rPr>
          <t xml:space="preserve">Umrechnungsfaktor
</t>
        </r>
        <r>
          <rPr>
            <sz val="8"/>
            <color indexed="81"/>
            <rFont val="Tahoma"/>
            <family val="2"/>
          </rPr>
          <t>Die folgenden Umrechnungsfaktoren von fm auf rm bzw. srm wurden für die handelsüblichen Sortimente berücksichtigt:</t>
        </r>
        <r>
          <rPr>
            <b/>
            <sz val="8"/>
            <color indexed="81"/>
            <rFont val="Tahoma"/>
            <family val="2"/>
          </rPr>
          <t xml:space="preserve">
</t>
        </r>
        <r>
          <rPr>
            <sz val="8"/>
            <color indexed="81"/>
            <rFont val="Tahoma"/>
            <family val="2"/>
          </rPr>
          <t>Scheitholz (1 m):     1 fm = 1,4286 rm
Stückholz (geschlichtet):     1 fm = 1,1765 rm
Stückholz (geschüttet):     1 fm = 2,0000 srm
Holzhackgut/Waldhackgut:     1 fm = 2,5000 srm
Sägespäne:     1 fm = 3,0303 srm
Hobelspäne:     1 fm = 5,0000 srm
Rinde (geschüttet):     1 fm = 3,3333 srm
Datenquelle: ÖNORM M 7132, Papierholz Austria
Im Bereich "Sonstige" können Sie einen gewünschten Umrechnungsfaktor gemäß Ihrer eigenen Erfahrungswerte bzw. Informationsquellen eintragen.</t>
        </r>
      </text>
    </comment>
    <comment ref="F15" authorId="0" shapeId="0">
      <text>
        <r>
          <rPr>
            <b/>
            <sz val="8"/>
            <color indexed="81"/>
            <rFont val="Tahoma"/>
            <family val="2"/>
          </rPr>
          <t>Einheit (Übliche Volumenmaße in der Forst- und Holzwirtschaft)
fm = Festmeter</t>
        </r>
        <r>
          <rPr>
            <sz val="8"/>
            <color indexed="81"/>
            <rFont val="Tahoma"/>
            <family val="2"/>
          </rPr>
          <t xml:space="preserve"> (übliches Handelsmaß in der Forst- und Holzwirtschaft für Rundholz, entspricht </t>
        </r>
        <r>
          <rPr>
            <b/>
            <sz val="8"/>
            <color indexed="81"/>
            <rFont val="Tahoma"/>
            <family val="2"/>
          </rPr>
          <t>1 m³ fester Holzmasse</t>
        </r>
        <r>
          <rPr>
            <sz val="8"/>
            <color indexed="81"/>
            <rFont val="Tahoma"/>
            <family val="2"/>
          </rPr>
          <t xml:space="preserve">. In den Holzhandelsusancen wird beim Rundholzhandel weiters zwischen </t>
        </r>
        <r>
          <rPr>
            <b/>
            <sz val="8"/>
            <color indexed="81"/>
            <rFont val="Tahoma"/>
            <family val="2"/>
          </rPr>
          <t>FOO</t>
        </r>
        <r>
          <rPr>
            <sz val="8"/>
            <color indexed="81"/>
            <rFont val="Tahoma"/>
            <family val="2"/>
          </rPr>
          <t xml:space="preserve"> (= </t>
        </r>
        <r>
          <rPr>
            <b/>
            <sz val="8"/>
            <color indexed="81"/>
            <rFont val="Tahoma"/>
            <family val="2"/>
          </rPr>
          <t>F</t>
        </r>
        <r>
          <rPr>
            <sz val="8"/>
            <color indexed="81"/>
            <rFont val="Tahoma"/>
            <family val="2"/>
          </rPr>
          <t xml:space="preserve">estmeter </t>
        </r>
        <r>
          <rPr>
            <b/>
            <sz val="8"/>
            <color indexed="81"/>
            <rFont val="Tahoma"/>
            <family val="2"/>
          </rPr>
          <t>O</t>
        </r>
        <r>
          <rPr>
            <sz val="8"/>
            <color indexed="81"/>
            <rFont val="Tahoma"/>
            <family val="2"/>
          </rPr>
          <t xml:space="preserve">hne Rinde geliefert &amp; </t>
        </r>
        <r>
          <rPr>
            <b/>
            <sz val="8"/>
            <color indexed="81"/>
            <rFont val="Tahoma"/>
            <family val="2"/>
          </rPr>
          <t>O</t>
        </r>
        <r>
          <rPr>
            <sz val="8"/>
            <color indexed="81"/>
            <rFont val="Tahoma"/>
            <family val="2"/>
          </rPr>
          <t xml:space="preserve">hne Rinde verrechnet), </t>
        </r>
        <r>
          <rPr>
            <b/>
            <sz val="8"/>
            <color indexed="81"/>
            <rFont val="Tahoma"/>
            <family val="2"/>
          </rPr>
          <t>FMO</t>
        </r>
        <r>
          <rPr>
            <sz val="8"/>
            <color indexed="81"/>
            <rFont val="Tahoma"/>
            <family val="2"/>
          </rPr>
          <t xml:space="preserve"> (= </t>
        </r>
        <r>
          <rPr>
            <b/>
            <sz val="8"/>
            <color indexed="81"/>
            <rFont val="Tahoma"/>
            <family val="2"/>
          </rPr>
          <t>F</t>
        </r>
        <r>
          <rPr>
            <sz val="8"/>
            <color indexed="81"/>
            <rFont val="Tahoma"/>
            <family val="2"/>
          </rPr>
          <t xml:space="preserve">estmeter </t>
        </r>
        <r>
          <rPr>
            <b/>
            <sz val="8"/>
            <color indexed="81"/>
            <rFont val="Tahoma"/>
            <family val="2"/>
          </rPr>
          <t>M</t>
        </r>
        <r>
          <rPr>
            <sz val="8"/>
            <color indexed="81"/>
            <rFont val="Tahoma"/>
            <family val="2"/>
          </rPr>
          <t xml:space="preserve">it Rinde geliefert &amp; </t>
        </r>
        <r>
          <rPr>
            <b/>
            <sz val="8"/>
            <color indexed="81"/>
            <rFont val="Tahoma"/>
            <family val="2"/>
          </rPr>
          <t>O</t>
        </r>
        <r>
          <rPr>
            <sz val="8"/>
            <color indexed="81"/>
            <rFont val="Tahoma"/>
            <family val="2"/>
          </rPr>
          <t xml:space="preserve">hne Rinde verrechnet) und </t>
        </r>
        <r>
          <rPr>
            <b/>
            <sz val="8"/>
            <color indexed="81"/>
            <rFont val="Tahoma"/>
            <family val="2"/>
          </rPr>
          <t>FMM</t>
        </r>
        <r>
          <rPr>
            <sz val="8"/>
            <color indexed="81"/>
            <rFont val="Tahoma"/>
            <family val="2"/>
          </rPr>
          <t xml:space="preserve"> (= </t>
        </r>
        <r>
          <rPr>
            <b/>
            <sz val="8"/>
            <color indexed="81"/>
            <rFont val="Tahoma"/>
            <family val="2"/>
          </rPr>
          <t>F</t>
        </r>
        <r>
          <rPr>
            <sz val="8"/>
            <color indexed="81"/>
            <rFont val="Tahoma"/>
            <family val="2"/>
          </rPr>
          <t xml:space="preserve">estmeter </t>
        </r>
        <r>
          <rPr>
            <b/>
            <sz val="8"/>
            <color indexed="81"/>
            <rFont val="Tahoma"/>
            <family val="2"/>
          </rPr>
          <t>M</t>
        </r>
        <r>
          <rPr>
            <sz val="8"/>
            <color indexed="81"/>
            <rFont val="Tahoma"/>
            <family val="2"/>
          </rPr>
          <t xml:space="preserve">it Rinde geliefert &amp; </t>
        </r>
        <r>
          <rPr>
            <b/>
            <sz val="8"/>
            <color indexed="81"/>
            <rFont val="Tahoma"/>
            <family val="2"/>
          </rPr>
          <t>M</t>
        </r>
        <r>
          <rPr>
            <sz val="8"/>
            <color indexed="81"/>
            <rFont val="Tahoma"/>
            <family val="2"/>
          </rPr>
          <t xml:space="preserve">it Rinde verrechnet) unterschieden. Bei Preisvergleichen muss auf den Erfüllungsort (meist frei Forststraße) und mögliche Rindenabschläge (meist FMO) geachtet werden.)
</t>
        </r>
        <r>
          <rPr>
            <b/>
            <sz val="8"/>
            <color indexed="81"/>
            <rFont val="Tahoma"/>
            <family val="2"/>
          </rPr>
          <t xml:space="preserve">rm = Raummeter </t>
        </r>
        <r>
          <rPr>
            <sz val="8"/>
            <color indexed="81"/>
            <rFont val="Tahoma"/>
            <family val="2"/>
          </rPr>
          <t xml:space="preserve">(übliches Handelsmaß für 1*1*1 m bzw. </t>
        </r>
        <r>
          <rPr>
            <b/>
            <sz val="8"/>
            <color indexed="81"/>
            <rFont val="Tahoma"/>
            <family val="2"/>
          </rPr>
          <t>1 m³  aufgeschlichtetes Holz</t>
        </r>
        <r>
          <rPr>
            <sz val="8"/>
            <color indexed="81"/>
            <rFont val="Tahoma"/>
            <family val="2"/>
          </rPr>
          <t xml:space="preserve"> mit Hohlräumen zwischen den Holzstücken. Brennholz wird häufig in Form von gespaltenen Meterscheitern frei Forststraße oder als ofenfertiges Stückholz frei Brennholzlager oder zugestellt frei Haus gehandelt. Bei Preisvergleichen ist daher unbedingt auf den Erfüllungsort und die Qualität (insbesondere Stückigkeit, Holzart und Wassergehalt bzw. Lagerungsdauer) zu achten.)
</t>
        </r>
        <r>
          <rPr>
            <b/>
            <sz val="8"/>
            <color indexed="81"/>
            <rFont val="Tahoma"/>
            <family val="2"/>
          </rPr>
          <t>srm = Schüttraummeter</t>
        </r>
        <r>
          <rPr>
            <sz val="8"/>
            <color indexed="81"/>
            <rFont val="Tahoma"/>
            <family val="2"/>
          </rPr>
          <t xml:space="preserve"> (übliches Handelsmaß für 1*1*1 m bzw. </t>
        </r>
        <r>
          <rPr>
            <b/>
            <sz val="8"/>
            <color indexed="81"/>
            <rFont val="Tahoma"/>
            <family val="2"/>
          </rPr>
          <t>1 m³ lose geschüttetes Holz</t>
        </r>
        <r>
          <rPr>
            <sz val="8"/>
            <color indexed="81"/>
            <rFont val="Tahoma"/>
            <family val="2"/>
          </rPr>
          <t xml:space="preserve"> in Form von Spänen, Hackgut oder ofenfertigem Stückholz mit Hohlräumen zwischen den einzelnen Holzteilen. Je nach Stückigkeit und Lagerungsdichte kann die in einem Schüttraummeter enthaltene feste Holzmasse sehr stark variieren.)
Die Volumeneinheiten in m³ bei den untenstehenden Kennzahlen  beziehen sich jeweils auf das übliche Handelsmaß des ausgewählten Sortiments (z. B. Auswahl Holzhackgut G30 =&gt; Einheit srm =&gt; Rohdichte der Frischsubstanz in kg/m³ FS = Rohdichte der Frischsubstanz in kg/srm FS).
Im Bereich "Sonstige" müssen Sie auch die richtige Einheit zum gewählten Umrechnungsfaktor  angeben.</t>
        </r>
      </text>
    </comment>
    <comment ref="N15" authorId="1" shapeId="0">
      <text>
        <r>
          <rPr>
            <sz val="8"/>
            <color indexed="81"/>
            <rFont val="Tahoma"/>
            <family val="2"/>
          </rPr>
          <t>Presslinge werden in der Regel mit Gewichtsmaßen (t-lutro) gehandelt</t>
        </r>
      </text>
    </comment>
    <comment ref="F17" authorId="0" shapeId="0">
      <text>
        <r>
          <rPr>
            <b/>
            <sz val="8"/>
            <color indexed="81"/>
            <rFont val="Tahoma"/>
            <family val="2"/>
          </rPr>
          <t xml:space="preserve">Wassergehalt [%]
</t>
        </r>
        <r>
          <rPr>
            <sz val="8"/>
            <color indexed="81"/>
            <rFont val="Tahoma"/>
            <family val="2"/>
          </rPr>
          <t xml:space="preserve">Geben Sie hier den Wassergehalt des Energieholzsortiments ein. </t>
        </r>
        <r>
          <rPr>
            <sz val="8"/>
            <color indexed="81"/>
            <rFont val="Tahoma"/>
            <family val="2"/>
          </rPr>
          <t>Übliche Wassergehalte von verfügbaren Energieholzsortimenten sind:
Scheitholz und Stückholz (ofenfertig) einjährig gelagert: 25 - 35 %
Scheitholz und Stückholz (ofenfertig) zweijährig gelagert: 15 - 25 %
Holzhackgut (zumindest über einen Sommer gelagert): &lt; 35 %
Sägehackgut (erntefrisch): 45 - 55 %
Sägespäne (je nach Anfallsort): 10 - 55 %
Rinde (erntefrisch): 45 - 55 %
Holzpresslinge: 8 - 10 % (ÖNORM M 7135: ≤ 10 %)
Rindenpresslinge: üblicherweise 8 - 10 % (ÖNORM M 7135 ≤ 18 %)
Datenquelle: Erfahrungswerte, ÖNORM M 7135
Hinweis: Der Wassergehalt ist der Anteil des im Holz enthaltenen Wassers (in Gewichtsprozent) an der Gesamtmasse des wasserhaltigen Holzes (Frischgewicht). Beispielsweise besteht eine Lieferung von 1 Tonne Hackgut bei 40% Wassergehalt aus 400 kg Wasser und 600 kg wasserfreier Holzsubstanz (Trockensubstanz). Der Wassergehalt des Holzes darf nicht mit der Holzfeuchte verwechselt werden.
Die Eingabe des Wassergehalts ist auf maximal 80 % beschränkt (für Presslinge 18 %)!</t>
        </r>
      </text>
    </comment>
    <comment ref="N17" authorId="0" shapeId="0">
      <text>
        <r>
          <rPr>
            <sz val="8"/>
            <color indexed="81"/>
            <rFont val="Tahoma"/>
            <family val="2"/>
          </rPr>
          <t xml:space="preserve">Der Wassergehalt  muss laut ÖNORM M7135 bei Holzpresslingen </t>
        </r>
        <r>
          <rPr>
            <sz val="8"/>
            <color indexed="81"/>
            <rFont val="Arial"/>
            <family val="2"/>
          </rPr>
          <t>≤</t>
        </r>
        <r>
          <rPr>
            <sz val="8"/>
            <color indexed="81"/>
            <rFont val="Tahoma"/>
            <family val="2"/>
          </rPr>
          <t xml:space="preserve">10% und bei Rindenpresslingen </t>
        </r>
        <r>
          <rPr>
            <sz val="8"/>
            <color indexed="81"/>
            <rFont val="Arial"/>
            <family val="2"/>
          </rPr>
          <t>≤</t>
        </r>
        <r>
          <rPr>
            <sz val="8"/>
            <color indexed="81"/>
            <rFont val="Tahoma"/>
            <family val="2"/>
          </rPr>
          <t xml:space="preserve"> 18% sein
</t>
        </r>
      </text>
    </comment>
    <comment ref="F18" authorId="0" shapeId="0">
      <text>
        <r>
          <rPr>
            <b/>
            <sz val="8"/>
            <color indexed="81"/>
            <rFont val="Tahoma"/>
            <family val="2"/>
          </rPr>
          <t>Wasserstoffgehalt [%]</t>
        </r>
        <r>
          <rPr>
            <sz val="8"/>
            <color indexed="81"/>
            <rFont val="Tahoma"/>
            <family val="2"/>
          </rPr>
          <t xml:space="preserve">
Der Wasserstoffgehalt von Holz beträgt etwa 6,0 - 6,2 % (Gewichts-% der TS)
Datenquelle: ÖNORM M 7132
Im Bereich "Sonstige" müssen Sie auch den Wasserstoffgehalt des gewünschten Brennstoffes gemäß eigener Informationsquellen eintragen.</t>
        </r>
      </text>
    </comment>
    <comment ref="F20" authorId="0" shapeId="0">
      <text>
        <r>
          <rPr>
            <b/>
            <sz val="8"/>
            <color indexed="81"/>
            <rFont val="Tahoma"/>
            <family val="2"/>
          </rPr>
          <t>Brennwert (bzw. oberer Heizwert) Ho der Trockensubstanz (TS) [MJ/kg]</t>
        </r>
        <r>
          <rPr>
            <sz val="8"/>
            <color indexed="81"/>
            <rFont val="Tahoma"/>
            <family val="2"/>
          </rPr>
          <t xml:space="preserve">
Der Brennwert (bzw. obere Heizwert) Ho von Nadelholz beträgt ca. 20,4 MJ/kg Trockensubstanz (TS). Der Brennwert von Laubholz ist durch den geringeren Lignin- und Harzgehalt etwas niedriger als der Brennwert von Nadelholz und beträgt ca. 19,3 MJ/kg TS.
Der Brennwert für Rinde (Nadelholz, Laubholz) wird in diesem Berechnungsblatt entsprechend dem Brennwert von Nadelholz bzw. Laubholz angenommen; jedoch kann der Brennwert bei  hohem Gehalt an Harzen oder anderen Extraktstoffen bis zu 2,5 MJ/kg höher sein, als der des Holzes.
Datenquelle: ÖNORM M 7132. Die Umrechnung zwischen MJ/kg und kWh/kg erfolgt mit dem Faktor 3,6 (1 kWh = 3,6 MJ).
Im Bereich "Sonstige" müssen Sie den Brennwert (bzw. oberen Heizwert) Ho des gewünschten Brennstoffes gemäß eigener Informationsquellen eintragen.</t>
        </r>
      </text>
    </comment>
    <comment ref="F21" authorId="0" shapeId="0">
      <text>
        <r>
          <rPr>
            <b/>
            <sz val="8"/>
            <color indexed="81"/>
            <rFont val="Tahoma"/>
            <family val="2"/>
          </rPr>
          <t>Brennwert (bzw. oberer Heizwert) Ho der Trockensubstanz (TS) [kWh/kg]</t>
        </r>
        <r>
          <rPr>
            <sz val="8"/>
            <color indexed="81"/>
            <rFont val="Tahoma"/>
            <family val="2"/>
          </rPr>
          <t xml:space="preserve">
Der Brennwert (bzw. obere Heizwert) Ho von Nadelholz beträgt ca. 5,6 kWh/kg Trockensubstanz (TS). Der Brennwert von Laubholz ist durch den geringeren Lignin- und Harzgehalt etwas niedriger als der Brennwert von Nadelholz und beträgt ca. 5,4 kWh/kg TS.
Der Brennwert für Rinde (Nadelholz, Laubholz) wird in diesem Berechnungsblatt entsprechend dem Brennwert von Nadelholz bzw. Laubholz angenommen; jedoch kann der Brennwert von Rinde bei  hohem Gehalt an Harzen oder anderen Extraktstoffen bis zu 0,7 kWh/kg höher sein, als der des Holzes.
Datenquelle: ÖNORM M 7132. Die Umrechnung zwischen MJ/kg und kWh/kg erfolgt mit dem Faktor 3,6 (1 kWh = 3,6 MJ).</t>
        </r>
      </text>
    </comment>
    <comment ref="F22" authorId="0" shapeId="0">
      <text>
        <r>
          <rPr>
            <b/>
            <sz val="8"/>
            <color indexed="81"/>
            <rFont val="Tahoma"/>
            <family val="2"/>
          </rPr>
          <t>Unterer Heizwert Hu der Trockensubstanz (TS) [MJ/kg]</t>
        </r>
        <r>
          <rPr>
            <sz val="8"/>
            <color indexed="81"/>
            <rFont val="Tahoma"/>
            <family val="2"/>
          </rPr>
          <t xml:space="preserve">
Der untere Heizwert Hu eines Brennstoffes läßt sich in Abhängigkeit von Wassergehalt und Wasserstoffgehalt über eine Näherungsgleichung aus dem Brennwert (bzw. oberen Heizwert) Ho errechnen. Die Details der Umrechnung zwischen Ho und Hu sind in der Bedienungsanleitung beschrieben.
Der Heizwert von Nadelholz beträgt laut ÖNORM 19,0 MJ/kg Trockensubstanz (TS). Der Heizwert von Laubholz ist durch den geringeren Lignin- und Harzgehalt etwas niedriger als der Heizwert von Nadelholz und beträgt laut ÖNORM 18,0 MJ/kg TS.
Der Heizwert für Rinde (Nadelholz, Laubholz) wird in diesem Berechnungsblatt entsprechend dem Heizwert von Nadelholz bzw. Laubholz angenommen; jedoch kann der Heizwert von Rinde bei  hohem Gehalt an Harzen oder anderen Extraktstoffen bis zu 2,5 MJ/kg höher sein, als der des Holzes.
Datenquelle: ÖNORM M 7132. Die Umrechnung zwischen MJ/kg und kWh/kg erfolgt mit dem Faktor 3,6 (1 kWh = 3,6 MJ).</t>
        </r>
      </text>
    </comment>
    <comment ref="F23" authorId="0" shapeId="0">
      <text>
        <r>
          <rPr>
            <b/>
            <sz val="8"/>
            <color indexed="81"/>
            <rFont val="Tahoma"/>
            <family val="2"/>
          </rPr>
          <t>Unterer Heizwert Hu der Trockensubstanz (TS) [kWh/kg]</t>
        </r>
        <r>
          <rPr>
            <sz val="8"/>
            <color indexed="81"/>
            <rFont val="Tahoma"/>
            <family val="2"/>
          </rPr>
          <t xml:space="preserve">
Der untere Heizwert Hu eines Brennstoffes läßt sich in Abhängigkeit von Wassergehalt und Wasserstoffgehalt über eine Näherungsgleichung aus dem Brennwert (bzw. oberen Heizwert) Ho errechnen. Die Details der Umrechnung zwischen Ho und Hu sind in der Bedienungsanleitung beschrieben.
Der Heizwert von Nadelholz beträgt laut ÖNORM ca. 5,3 kWh/kg Trockensubstanz (TS). Der Heizwert von Laubholz ist durch den geringeren Lignin- und Harzgehalt etwas niedriger als der Heizwert von Nadelholz und beträgt ca. 5,0 kWh/kg TS.
Der Heizwert für Rinde (Nadelholz, Laubholz) wird in diesem Berechnungsblatt entsprechend dem Heizwert von Nadelholz bzw. Laubholz angenommen; jedoch kann der Heizwert bei  hohem Gehalt an Harzen oder anderen Extraktstoffen bis zu 0,7 kWh/kg höher sein, als der des Holzes.
Datenquelle: ÖNORM M 7132. Die Umrechnung zwischen MJ/kg und kWh/kg erfolgt mit dem Faktor 3,6 (1 kWh = 3,6 MJ).</t>
        </r>
      </text>
    </comment>
    <comment ref="F24" authorId="0" shapeId="0">
      <text>
        <r>
          <rPr>
            <b/>
            <sz val="8"/>
            <color indexed="81"/>
            <rFont val="Tahoma"/>
            <family val="2"/>
          </rPr>
          <t>Unterer Heizwert Hu der Frischsubstanz (FS) bei x % H</t>
        </r>
        <r>
          <rPr>
            <b/>
            <vertAlign val="subscript"/>
            <sz val="8"/>
            <color indexed="81"/>
            <rFont val="Tahoma"/>
            <family val="2"/>
          </rPr>
          <t>2</t>
        </r>
        <r>
          <rPr>
            <b/>
            <sz val="8"/>
            <color indexed="81"/>
            <rFont val="Tahoma"/>
            <family val="2"/>
          </rPr>
          <t>O  [MJ/kg]</t>
        </r>
        <r>
          <rPr>
            <sz val="8"/>
            <color indexed="81"/>
            <rFont val="Tahoma"/>
            <family val="2"/>
          </rPr>
          <t xml:space="preserve">
Der untere Heizwert Hu von Holz ist - auf das Gewicht bezogen - vor allem vom Wassergehalt abhängig: eine Senkung des Wassergehaltes um 5 % bewirkt eine Erhöhung des Energieinhaltes um ca. 1 MJ/kg. 
Waldfrisches Holz hat zum Zeitpunkt der Schlägerung bei einem Wassergehalt von ca. 55 % einen Energieinhalt von ca. 7 MJ/kg, bei zwei- bis dreijährig gelagertem Scheitholz kann der Wassergehalt auf ca. 20 % gesenkt und der Energieinhalt auf ca. 14 MJ/kg verdoppelt werden.</t>
        </r>
      </text>
    </comment>
    <comment ref="F25" authorId="0" shapeId="0">
      <text>
        <r>
          <rPr>
            <b/>
            <sz val="8"/>
            <color indexed="81"/>
            <rFont val="Tahoma"/>
            <family val="2"/>
          </rPr>
          <t>Unterer Heizwert Hu der Frischsubstanz (FS) bei x % H</t>
        </r>
        <r>
          <rPr>
            <b/>
            <vertAlign val="subscript"/>
            <sz val="8"/>
            <color indexed="81"/>
            <rFont val="Tahoma"/>
            <family val="2"/>
          </rPr>
          <t>2</t>
        </r>
        <r>
          <rPr>
            <b/>
            <sz val="8"/>
            <color indexed="81"/>
            <rFont val="Tahoma"/>
            <family val="2"/>
          </rPr>
          <t>O  [kWh/kg]</t>
        </r>
        <r>
          <rPr>
            <sz val="8"/>
            <color indexed="81"/>
            <rFont val="Tahoma"/>
            <family val="2"/>
          </rPr>
          <t xml:space="preserve">
Der untere Heizwert Hu von Holz ist - auf das Gewicht bezogen - vor allem vom Wassergehalt abhängig: eine Senkung des Wassergehaltes um 5 % bewirkt eine Erhöhung des Energieinhaltes um ca. 0,3 kWh/kg. 
Waldfrisches Holz hat zum Zeitpunkt der Schlägerung bei einem Wassergehalt von ca. 55 % einen Energieinhalt von ca. 2 kWh/kg, bei zwei- bis dreijährig gelagertem Scheitholz kann der Wassergehalt auf ca. 20 % gesenkt und der Energieinhalt auf ca. 4 kWh/kg verdoppelt werden.</t>
        </r>
      </text>
    </comment>
    <comment ref="F26" authorId="0" shapeId="0">
      <text>
        <r>
          <rPr>
            <b/>
            <sz val="8"/>
            <color indexed="81"/>
            <rFont val="Tahoma"/>
            <family val="2"/>
          </rPr>
          <t>Unterer Heizwert Hu der Frischsubstanz (FS) bei x % H</t>
        </r>
        <r>
          <rPr>
            <b/>
            <vertAlign val="subscript"/>
            <sz val="8"/>
            <color indexed="81"/>
            <rFont val="Tahoma"/>
            <family val="2"/>
          </rPr>
          <t>2</t>
        </r>
        <r>
          <rPr>
            <b/>
            <sz val="8"/>
            <color indexed="81"/>
            <rFont val="Tahoma"/>
            <family val="2"/>
          </rPr>
          <t>O  [MJ/m³]</t>
        </r>
        <r>
          <rPr>
            <sz val="8"/>
            <color indexed="81"/>
            <rFont val="Tahoma"/>
            <family val="2"/>
          </rPr>
          <t xml:space="preserve">
Das m³-Maß bezieht sich auf das oben eingestellte Sortiment (z. B. Lärche, Holzhackgut G30, Wassergehalt 30 % =&gt; 1 m³ entspricht 1*1*1 m bzw. 1 srm lose geschüttetem Hackgut mit ca. 3.500 MJ Energieinhalt).
Der untere Heizwert Hu von Holz ist - auf das Volumen bezogen - von vielen Einflußfaktoren abhängig. Je nach Holzart bzw. Holzartenmischung, Wuchsort (magerer Hochlagenstandort versus nährstoffreicher Tieflagenstandort), Handelssortiment (Späne, Grobhackgut, Feinhackgut, Scheitholz, Rundholz, Presslinge, etc.) und Qualität (Wassergehalt, Fäulnis, Verunreinigungen, etc.) ist eine sehr große Variabilität des Energieinhaltes einer Holzlieferung möglich. Die mit dem Kalkulationsblatt errechneten volumenbezogenen Kennwerte stellen nur Richtgrößen für mittlere Holzqualitäten und übliche Handelssortimente dar. 
Um das Übernahmerisiko für Energieholzlieferungen zu reduzieren, wird daher empfohlen, Kaufverträge unter Berücksichtigung des Liefergewichtes und Wassergehaltes (in Euro pro t-atro oder Euro pro MWh) abzuschließen.</t>
        </r>
      </text>
    </comment>
    <comment ref="F27" authorId="0" shapeId="0">
      <text>
        <r>
          <rPr>
            <b/>
            <sz val="8"/>
            <color indexed="81"/>
            <rFont val="Tahoma"/>
            <family val="2"/>
          </rPr>
          <t>Unterer Heizwert Hu der Frischsubstanz (FS) bei x % H</t>
        </r>
        <r>
          <rPr>
            <b/>
            <vertAlign val="subscript"/>
            <sz val="8"/>
            <color indexed="81"/>
            <rFont val="Tahoma"/>
            <family val="2"/>
          </rPr>
          <t>2</t>
        </r>
        <r>
          <rPr>
            <b/>
            <sz val="8"/>
            <color indexed="81"/>
            <rFont val="Tahoma"/>
            <family val="2"/>
          </rPr>
          <t>O  [kWh/m³]</t>
        </r>
        <r>
          <rPr>
            <sz val="8"/>
            <color indexed="81"/>
            <rFont val="Tahoma"/>
            <family val="2"/>
          </rPr>
          <t xml:space="preserve">
Das m³-Maß bezieht sich auf das oben eingestellte Sortiment (z. B. Lärche, Holzhackgut G30, Wassergehalt 30 % =&gt; 1 m³ entspricht 1*1*1 m bzw. 1 srm lose geschüttetem Hackgut mit ca. 970 kWh Energieinhalt).
Der untere Heizwert Hu von Holz ist - auf das Volumen bezogen - von vielen Einflußfaktoren abhängig. Je nach Holzart (Weichholz, Hartholz) bzw. Holzartenmischung, Wuchsort (magerer Hochlagenstandort, nährstoffreicher Tieflagenstandort), Handelssortiment (Späne, Grobhackgut, Feinhackgut, Scheitholz, Rundholz, Presslinge, etc.) und Qualität (Wassergehalt, Fäulnis, Verunreinigungen, etc.) ist eine sehr große Variabilität des Energieinhaltes pro Volumeneinheit einer Holzlieferung möglich. Die mit dem Kalkulationsblatt errechneten volumenbezogenen Kennwerte stellen nur Richtgrößen für mittlere Holzqualitäten und übliche Handelssortimente dar. 
Um das Übernahmerisiko für Energieholzlieferungen zu reduzieren, wird daher empfohlen, Kaufverträge unter Berücksichtigung des Liefergewichtes und Wassergehaltes (in Euro pro t-atro oder Euro pro MWh) abzuschließen.</t>
        </r>
      </text>
    </comment>
    <comment ref="F29" authorId="0" shapeId="0">
      <text>
        <r>
          <rPr>
            <b/>
            <sz val="8"/>
            <color indexed="81"/>
            <rFont val="Tahoma"/>
            <family val="2"/>
          </rPr>
          <t>Mittlere Darrdichte [kg/m³] (bei 0 % H</t>
        </r>
        <r>
          <rPr>
            <b/>
            <vertAlign val="subscript"/>
            <sz val="8"/>
            <color indexed="81"/>
            <rFont val="Tahoma"/>
            <family val="2"/>
          </rPr>
          <t>2</t>
        </r>
        <r>
          <rPr>
            <b/>
            <sz val="8"/>
            <color indexed="81"/>
            <rFont val="Tahoma"/>
            <family val="2"/>
          </rPr>
          <t>O)</t>
        </r>
        <r>
          <rPr>
            <sz val="8"/>
            <color indexed="81"/>
            <rFont val="Tahoma"/>
            <family val="2"/>
          </rPr>
          <t xml:space="preserve">
Die angezeigten mittleren Darrdichten beziehen sich auf 1 m³ darrgetrocknete feste Holzmasse. Die für die Berechnung verwendeten Darrdichten und die jeweilige Datenquelle sind im "Datenblatt" ersichtlich.
Im Bereich "Sonstige" muss das Darrgewicht des gewählten Brennstoffes gemäß eigener Erfahrungswerte bzw. Informationsquellen eingetragen werden.</t>
        </r>
      </text>
    </comment>
    <comment ref="F30" authorId="0" shapeId="0">
      <text>
        <r>
          <rPr>
            <b/>
            <sz val="8"/>
            <color indexed="81"/>
            <rFont val="Tahoma"/>
            <family val="2"/>
          </rPr>
          <t>Mittleres Schwindmaß [%]</t>
        </r>
        <r>
          <rPr>
            <sz val="8"/>
            <color indexed="81"/>
            <rFont val="Tahoma"/>
            <family val="2"/>
          </rPr>
          <t xml:space="preserve">
Holz "schwindet" bei der Trocknung vom Fasersättigungspunkt bis zum Darrgewicht je nach Holzart, Dichte und Richtung zur Faser unterschiedlich. Am geringsten sind die Schwindmaße in Faserrichtung (0,1 bis 1 %), mittlere Werte werden in radialer Richtung (5 % in Richtung der Markstrahlen) erreicht, am stärksten "arbeitet" das Holz in tangentialer Richtung (10 bis 17 % in Richtung der Jahrringe).
Das für die Berechnungen im Kalkulationsblatt verwendete Gesamtschwindmaß für das Volumen ergibt sich als Summe der Schwindmaße in Faserrichtung, radialer Richtung und tangentialer Richtung der jeweiligen Holzart. Eine Übersicht der verwendeten Gesamtschwindmaße und die jeweilige Datenquelle ist im Datenblatt dargestellt.
Bei Presslingen wird im Kalkulationsblatt keine Schwindmaßkorrektur gerechnet, da der Wassergehalt dieser Brennstoffe in der Regel auf die laut Norm zulässigen Werte eingestellt ist. Abweichungen von den Normwerten werden in den Berechnungsroutinen des Kalkulationsblattes nicht berücksichtigt. Eine Durchfeuchtung von Presslingen durch unsachgemäße Lagerung oder Wassereinbrüche kann aber zu extremen Volumsvergrößerungen und zum  Zerfall in Späne führen.
Im Bereich "Sonstige" muss das Gesamtschwindmaß des gewählten Brennstoffes gemäß eigener Erfahrungswerte bzw. Informationsquellen eingetragen werden.</t>
        </r>
      </text>
    </comment>
    <comment ref="N30" authorId="0" shapeId="0">
      <text>
        <r>
          <rPr>
            <sz val="8"/>
            <color indexed="81"/>
            <rFont val="Tahoma"/>
            <family val="2"/>
          </rPr>
          <t>Bei Presslingen wird im Kalkulationsblatt keine Schwindmaßkorrektur gerechnet, da der Wassergehalt dieser Brennstoffe in der Regel auf die laut Norm zulässigen Werte eingestellt ist. Abweichungen von den Normwerten werden in den Berechnungsroutinen des Kalkulationsblattes nicht berücksichtigt. Eine Durchfeuchtung von Presslingen durch unsachgemäße Lagerung oder Wassereinbrüche kann aber zu extremen Volumsvergrößerungen und zum  Zerfall in Späne führen.</t>
        </r>
      </text>
    </comment>
    <comment ref="F31" authorId="0" shapeId="0">
      <text>
        <r>
          <rPr>
            <b/>
            <sz val="8"/>
            <color indexed="81"/>
            <rFont val="Tahoma"/>
            <family val="2"/>
          </rPr>
          <t>Roh- bzw. Lagerungsdichte [kg/m³] (bei x % H</t>
        </r>
        <r>
          <rPr>
            <b/>
            <vertAlign val="subscript"/>
            <sz val="8"/>
            <color indexed="81"/>
            <rFont val="Tahoma"/>
            <family val="2"/>
          </rPr>
          <t>2</t>
        </r>
        <r>
          <rPr>
            <b/>
            <sz val="8"/>
            <color indexed="81"/>
            <rFont val="Tahoma"/>
            <family val="2"/>
          </rPr>
          <t xml:space="preserve">O) </t>
        </r>
        <r>
          <rPr>
            <sz val="8"/>
            <color indexed="81"/>
            <rFont val="Tahoma"/>
            <family val="2"/>
          </rPr>
          <t xml:space="preserve">
Unter Berücksichtigung des gewählten Sortiments, des eingegebenen Wassergehaltes und des mittleren Schwindmaßes wird über die mittlere Darrdichte eine Richtgröße für die Roh- bzw. Lagerungsdichte des Energieholzsortimentes errechnet. Die m³-Angabe bezieht sich hier auf die Einheit (fm - rm - srm) des oben eingestellten Sortiments (z. B. Lärche, Holzhackgut G30, Wassergehalt 30 % =&gt; 1 m³ entspricht 1*1*1 m bzw. 1 srm lose geschüttetem Hackgut mit einer Lagerungsdichte von ca. 278 kg/srm).
Die Roh- bzw. Lagerungsdichte einer konkreten Lieferung kann stark von der errechneten Richtgröße abweichen, da die Holzdichte auch innerhalb einer Baumart je nach Wuchsort (karger Hochlagenstandort, nährstoffreicher Tieflagenstandort) deutlich von den Durchschnittswerten abweichen oder die Stückigkeit bzw. Lagerungsdichte von Hackgut oder Rinde je nach Hackgerät bzw. Transportdistanz erheblich variieren kann.
Um das Übernahmerisiko für Energieholzlieferungen zu reduzieren, wird daher empfohlen, Kaufverträge unter Berücksichtigung des Liefergewichtes und Wassergehaltes (in Euro pro t-atro oder Euro pro MWh) abzuschließen.</t>
        </r>
      </text>
    </comment>
    <comment ref="F32" authorId="0" shapeId="0">
      <text>
        <r>
          <rPr>
            <b/>
            <sz val="8"/>
            <color indexed="81"/>
            <rFont val="Tahoma"/>
            <family val="2"/>
          </rPr>
          <t>Anteil der Holzsubstanz [kg/m³] (TS-Anteil bei x % H</t>
        </r>
        <r>
          <rPr>
            <b/>
            <vertAlign val="subscript"/>
            <sz val="8"/>
            <color indexed="81"/>
            <rFont val="Tahoma"/>
            <family val="2"/>
          </rPr>
          <t>2</t>
        </r>
        <r>
          <rPr>
            <b/>
            <sz val="8"/>
            <color indexed="81"/>
            <rFont val="Tahoma"/>
            <family val="2"/>
          </rPr>
          <t xml:space="preserve">O) </t>
        </r>
        <r>
          <rPr>
            <sz val="8"/>
            <color indexed="81"/>
            <rFont val="Tahoma"/>
            <family val="2"/>
          </rPr>
          <t xml:space="preserve">
Unter Berücksichtigung des gewählten Sortiments, des eingegebenen Wassergehaltes und des mittleren Schwindmaßes wird über die mittlere Darrdichte eine Richtgröße für den Anteil der Holzsubstanz am gelieferten Energieholzsortiment errechnet. Die m³-Angabe bezieht sich hier auf die Einheit (fm - rm - srm) des oben eingestellten Sortiments (z. B. Lärche, Holzhackgut G30, Wassergehalt 30% =&gt; 1 m³ entspricht 1*1*1 m bzw. 1 srm lose geschüttetem Hackgut mit einer Lagerungsdichte von ca. 278 kg/srm =&gt; davon 30 % Wasseranteil entspricht 84 kg H</t>
        </r>
        <r>
          <rPr>
            <vertAlign val="subscript"/>
            <sz val="8"/>
            <color indexed="81"/>
            <rFont val="Tahoma"/>
            <family val="2"/>
          </rPr>
          <t>2</t>
        </r>
        <r>
          <rPr>
            <sz val="8"/>
            <color indexed="81"/>
            <rFont val="Tahoma"/>
            <family val="2"/>
          </rPr>
          <t>O pro srm und 70 % Holz(trocken)substanzanteil entspricht 195 kg TS pro srm (gerundet)).
Die Roh- bzw. Lagerungsdichte einer konkreten Lieferung kann stark von der errechneten Richtgröße abweichen, da die Holzdichte auch innerhalb einer Baumart je nach Wuchsort (karger Hochlagenstandort, nährstoffreicher Tieflagenstandort) deutlich von den Durchschnittswerten abweichen oder die Stückigkeit bzw. Lagerungsdichte von Hackgut oder Rinde je nach Hackgerät bzw. Transportdistanz erheblich variieren kann.
Um das Übernahmerisiko für Energieholzlieferungen zu reduzieren, wird daher empfohlen, Kaufverträge unter Berücksichtigung des Liefergewichtes und Wassergehaltes (in Euro pro t-atro oder Euro pro MWh) abzuschließen.</t>
        </r>
      </text>
    </comment>
    <comment ref="F33" authorId="0" shapeId="0">
      <text>
        <r>
          <rPr>
            <b/>
            <sz val="8"/>
            <color indexed="81"/>
            <rFont val="Tahoma"/>
            <family val="2"/>
          </rPr>
          <t>Anteil des Wassers [kg/m³] (H</t>
        </r>
        <r>
          <rPr>
            <b/>
            <vertAlign val="subscript"/>
            <sz val="8"/>
            <color indexed="81"/>
            <rFont val="Tahoma"/>
            <family val="2"/>
          </rPr>
          <t>2</t>
        </r>
        <r>
          <rPr>
            <b/>
            <sz val="8"/>
            <color indexed="81"/>
            <rFont val="Tahoma"/>
            <family val="2"/>
          </rPr>
          <t>O-Anteil bei x % H</t>
        </r>
        <r>
          <rPr>
            <b/>
            <vertAlign val="subscript"/>
            <sz val="8"/>
            <color indexed="81"/>
            <rFont val="Tahoma"/>
            <family val="2"/>
          </rPr>
          <t>2</t>
        </r>
        <r>
          <rPr>
            <b/>
            <sz val="8"/>
            <color indexed="81"/>
            <rFont val="Tahoma"/>
            <family val="2"/>
          </rPr>
          <t>O)</t>
        </r>
        <r>
          <rPr>
            <sz val="8"/>
            <color indexed="81"/>
            <rFont val="Tahoma"/>
            <family val="2"/>
          </rPr>
          <t xml:space="preserve"> 
Unter Berücksichtigung des gewählten Sortiments, der mittleren Darrdichte und des mittleren Schwindmaßes wird über den eingegebenen Wassergehalt eine Richtgröße für den Anteil des Wassers am gelieferten Energieholzsortiment errechnet. Die m³-Angabe bezieht sich hier auf die Einheit (fm - rm - srm) des oben eingestellten Sortiments (z. B. Lärche, Holzhackgut G30, Wassergehalt 30 % =&gt; 1 m³ entspricht 1*1*1 m bzw. 1 srm lose geschüttetem Hackgut mit einer Lagerungsdichte von ca. 278 kg/srm =&gt; davon 30 % Wasseranteil entspricht 84 kg H</t>
        </r>
        <r>
          <rPr>
            <vertAlign val="subscript"/>
            <sz val="8"/>
            <color indexed="81"/>
            <rFont val="Tahoma"/>
            <family val="2"/>
          </rPr>
          <t>2</t>
        </r>
        <r>
          <rPr>
            <sz val="8"/>
            <color indexed="81"/>
            <rFont val="Tahoma"/>
            <family val="2"/>
          </rPr>
          <t>O pro srm und 70 % Holz(trocken)substanzanteil entspricht 195 kg TS pro srm (gerundet)).
Die Roh- bzw. Lagerungsdichte einer konkreten Lieferung kann stark von der errechneten Richtgröße abweichen, da die Holzdichte auch innerhalb einer Baumart je nach Wuchsort (karger Hochlagenstandort, nährstoffreicher Tieflagenstandort) deutlich von den Durchschnittswerten abweichen oder die Stückigkeit bzw. Lagerungsdichte von Hackgut oder Rinde je nach Hackgerät bzw. Transportdistanz erheblich variieren kann.
Um das Übernahmerisiko für Energieholzlieferungen zu reduzieren, wird daher empfohlen, Kaufverträge unter Berücksichtigung des Liefergewichtes und Wassergehaltes (in Euro pro t-atro oder Euro pro MWh) abzuschließen.</t>
        </r>
      </text>
    </comment>
    <comment ref="F34" authorId="0" shapeId="0">
      <text>
        <r>
          <rPr>
            <b/>
            <sz val="8"/>
            <color indexed="81"/>
            <rFont val="Tahoma"/>
            <family val="2"/>
          </rPr>
          <t>Verhältniszahl m³ pro Tonne Frischsubstanz (FS)  [m³/t]</t>
        </r>
        <r>
          <rPr>
            <sz val="8"/>
            <color indexed="81"/>
            <rFont val="Tahoma"/>
            <family val="2"/>
          </rPr>
          <t xml:space="preserve">
Gibt eine Richtgröße für das benötigte Lager- bzw. Transportvolumen pro Tonne Frischsubstanz (FS) des betrachteten Energieholzsortimentes an.
Unter Berücksichtigung des gewählten Sortiments, des eingegebenen Wassergehaltes und des mittleren Schwindmaßes wird über die mittlere Darrdichte eine Richtgröße für die Roh- bzw. Lagerungsdichte des Energieholzsortimentes errechnet. Die m³-Angabe bezieht sich hier auf die Einheit (fm - rm - srm) des oben eingestellten Sortiments (z. B. Lärche, Holzhackgut G30, Wassergehalt 30 % =&gt; 1 m³ entspricht 1*1*1 m bzw. 1 srm lose geschüttetem Hackgut mit einer Lagerungsdichte von ca. 278 kg/srm =&gt; 1.000/278 = ca. 3,6 srm Hackgut pro Tonne Frischsubstanz).
Die Roh- bzw. Lagerungsdichte einer konkreten Lieferung kann stark von der errechneten Richtgröße abweichen, da die Holzdichte auch innerhalb einer Baumart je nach Wuchsort (karger Hochlagenstandort, nährstoffreicher Tieflagenstandort) deutlich von den Durchschnittswerten abweichen oder die Stückigkeit bzw. Lagerungsdichte von Hackgut oder Rinde je nach Hackgerät bzw. Transportdistanz erheblich variieren kann.
Um das Übernahmerisiko für Energieholzlieferungen zu reduzieren, wird daher empfohlen, Kaufverträge unter Berücksichtigung des Liefergewichtes und Wassergehaltes (in Euro pro t-atro oder Euro pro MWh) abzuschließen.</t>
        </r>
      </text>
    </comment>
    <comment ref="F36" authorId="0" shapeId="0">
      <text>
        <r>
          <rPr>
            <b/>
            <sz val="8"/>
            <color indexed="81"/>
            <rFont val="Tahoma"/>
            <family val="2"/>
          </rPr>
          <t>Aschengehalt als Schätzwert [%]</t>
        </r>
        <r>
          <rPr>
            <sz val="8"/>
            <color indexed="81"/>
            <rFont val="Tahoma"/>
            <family val="2"/>
          </rPr>
          <t xml:space="preserve">
Der Aschengehalt von Energieholzsortimenten ist in erster Linie vom Rindenanteil und Verschmutzungsgrad (Eintrag von mineralischen Bestandteilen durch Lagerung und Manipulation) des Brennstoffs abhängig.
Aufgrund des unterschiedlichen Verschmutzungsgrads des Brennstoffs werden in der Literatur nur grobe Anhaltpunkte bezüglich des Aschenanteils angegeben (siehe Obernberger 1997, "Nutzung fester Biomasse in Verbrennungsanlagen").
Für eine Abschätzung der Aschenmengen wurden folgende Aschenanteile in Gewichts-% der Trockensubstanz für die einzelnen Sortimente angenommen:
- Scheit- und Stückholz:    1,0 % 
- Holzhackgut G30 und G50:    1,5 %
- Säge- und Hobelspäne:    1,0 %
- Rinde:    6,0 %
- Holzpresslinge:    0,3 - 0,5 % 
- Rindenpresslinge:    6,0 %
Datenquellen: Erfahrungswerte, Obernberger 1997, ÖNORM M 7135.</t>
        </r>
      </text>
    </comment>
    <comment ref="F37" authorId="0" shapeId="0">
      <text>
        <r>
          <rPr>
            <b/>
            <sz val="8"/>
            <color indexed="81"/>
            <rFont val="Tahoma"/>
            <family val="2"/>
          </rPr>
          <t>Aschendichte als Schätzwert [kg/m³]</t>
        </r>
        <r>
          <rPr>
            <sz val="8"/>
            <color indexed="81"/>
            <rFont val="Tahoma"/>
            <family val="2"/>
          </rPr>
          <t xml:space="preserve">
Das Aschengewicht kann je nach Verbrennungsqualität und Anfallsort der Asche (Fein- oder Grobasche) zwischen 300 und 1.000 kg/m³ betragen. Für die Berechnung wurde ein mittleres Aschengewicht von 700 kg/m³ angenommen.
Datenquelle: Erfahrungswerte; Ruckenbauer, Obernberger, Holzner; 1996.</t>
        </r>
      </text>
    </comment>
    <comment ref="C39" authorId="2" shapeId="0">
      <text>
        <r>
          <rPr>
            <b/>
            <sz val="8"/>
            <color indexed="81"/>
            <rFont val="Tahoma"/>
            <family val="2"/>
          </rPr>
          <t>Wählen Sie eine der folgenden Einheiten:
    [€/t TS] 
    [€/t FS] 
    [€/m³ FS]
    [€/MWh]</t>
        </r>
        <r>
          <rPr>
            <sz val="8"/>
            <color indexed="81"/>
            <rFont val="Tahoma"/>
            <family val="2"/>
          </rPr>
          <t xml:space="preserve">
</t>
        </r>
        <r>
          <rPr>
            <b/>
            <sz val="8"/>
            <color indexed="81"/>
            <rFont val="Tahoma"/>
            <family val="2"/>
          </rPr>
          <t>Hinweis</t>
        </r>
        <r>
          <rPr>
            <sz val="8"/>
            <color indexed="81"/>
            <rFont val="Tahoma"/>
            <family val="2"/>
          </rPr>
          <t xml:space="preserve">: Bei Preisvergleichen muss unbedingt auf den Erfüllungsort und die Brennstoffqualität geachtet werden, da die Transport- und Hackkosten einen erheblichen Teil der Gesamtkosten ausmachen können (z. B. Erfüllungsort frei Waldstraße als Rundholz oder frei Heizwerk bzw. KWK-Anlage als fertiges Hackgut).
</t>
        </r>
      </text>
    </comment>
    <comment ref="F42" authorId="0" shapeId="0">
      <text>
        <r>
          <rPr>
            <b/>
            <sz val="8"/>
            <color indexed="81"/>
            <rFont val="Tahoma"/>
            <family val="2"/>
          </rPr>
          <t xml:space="preserve">Preis pro Einheit in  [Euro/t TS] bzw. [Euro/t-atro]
</t>
        </r>
        <r>
          <rPr>
            <sz val="8"/>
            <color indexed="81"/>
            <rFont val="Tahoma"/>
            <family val="2"/>
          </rPr>
          <t xml:space="preserve">
Hier sehen Sie den Brennstoffpreis in Euro pro Tonne Trockensubstanz (TS) bzw. Euro pro t-atro.
Beispiel: Lärche, Holzhackgut G30, Wassergehalt 30 % 
=&gt; 1 m³ entspricht 1*1*1 m bzw. 1 srm lose geschüttetem Hackgut mit ca. 970 kWh/srm Energieinhalt 
=&gt; Preiseingabe in Euro/t TS (bzw. Euro/t-atro) mit "80,00" 
=&gt; sofortige Umrechnung in 56,00 Euro/t FS bzw. 15,59 Euro/m³ (entspricht Euro/srm) bzw. 16,04 Euro/MWh bzw. 4,46 Euro/GJ.</t>
        </r>
      </text>
    </comment>
    <comment ref="F43" authorId="0" shapeId="0">
      <text>
        <r>
          <rPr>
            <b/>
            <sz val="8"/>
            <color indexed="81"/>
            <rFont val="Tahoma"/>
            <family val="2"/>
          </rPr>
          <t xml:space="preserve">Preis pro Einheit in  [Euro/t FS] bzw. [Euro/t-lutro]
</t>
        </r>
        <r>
          <rPr>
            <sz val="8"/>
            <color indexed="81"/>
            <rFont val="Tahoma"/>
            <family val="2"/>
          </rPr>
          <t xml:space="preserve">Hier sehen Sie den Brennstoffpreis in Euro pro Tonne Frischsubstanz (FS) bzw. Euro pro t-lutro. 
Beispiel: Lärche, Holzhackgut G30, Wassergehalt 30 % 
=&gt; 1 m³ entspricht 1*1*1 m bzw. 1 srm lose geschüttetem Hackgut mit ca. 970 kWh/srm Energieinhalt 
=&gt; Preiseingabe in Euro/t FS (bzw. Euro/t-lutro) mit "60,00" 
=&gt; sofortige Umrechnung in 85,71 Euro/t TS bzw. 16,71 Euro/m³ (entspricht Euro/srm) bzw. 17,19 Euro/MWh bzw. 4,77 Euro/GJ.
</t>
        </r>
      </text>
    </comment>
    <comment ref="F44" authorId="0" shapeId="0">
      <text>
        <r>
          <rPr>
            <b/>
            <sz val="8"/>
            <color indexed="81"/>
            <rFont val="Tahoma"/>
            <family val="2"/>
          </rPr>
          <t xml:space="preserve">Preis pro Einheit in [Euro/m³ FS]
</t>
        </r>
        <r>
          <rPr>
            <sz val="8"/>
            <color indexed="81"/>
            <rFont val="Tahoma"/>
            <family val="2"/>
          </rPr>
          <t xml:space="preserve">
Hier sehen Sie den Brennstoffpreis in Euro pro m³ Frischsubstanz (FS). Das m³-Maß bezieht sich auf das oben eingestellte Sortiment. 
Beispiel: Lärche, Holzhackgut G30, Wassergehalt 30 % 
=&gt; 1 m³ entspricht 1*1*1 m bzw. 1 srm lose geschüttetem Hackgut mit ca. 970 kWh/srm Energieinhalt 
=&gt; Preiseingabe in Euro/m³ (entspricht Euro/srm) mit "17,50" 
=&gt; sofortige Umrechnung in 89,78 Euro/t TS bzw. 62,85 Euro/t FS bzw. 18,00 Euro/MWh bzw. 5,00 Euro/GJ. 
</t>
        </r>
      </text>
    </comment>
    <comment ref="F45" authorId="0" shapeId="0">
      <text>
        <r>
          <rPr>
            <b/>
            <sz val="8"/>
            <color indexed="81"/>
            <rFont val="Tahoma"/>
            <family val="2"/>
          </rPr>
          <t xml:space="preserve">Preis pro Einheit in [Euro/MWh]
</t>
        </r>
        <r>
          <rPr>
            <sz val="8"/>
            <color indexed="81"/>
            <rFont val="Tahoma"/>
            <family val="2"/>
          </rPr>
          <t xml:space="preserve">
Hier sehen Sie den Brennstoffpreis in Euro pro MWh.
Beispiel: Lärche, Holzhackgut G30, Wassergehalt 30 % 
=&gt; 1 m³ entspricht 1*1*1 m bzw. 1 srm lose geschüttetem Hackgut mit ca. 970 kWh/srm Energieinhalt 
=&gt; Preiseingabe in Euro/MWh mit "17,00" 
=&gt; sofortige Umrechnung in 84,77 Euro/t TS bzw. 59,34 Euro/t FS bzw. 16,52 Euro/m³ (entspricht Euro/srm) bzw. 4,72 Euro/GJ.
</t>
        </r>
      </text>
    </comment>
    <comment ref="F46" authorId="0" shapeId="0">
      <text>
        <r>
          <rPr>
            <b/>
            <sz val="8"/>
            <color indexed="81"/>
            <rFont val="Tahoma"/>
            <family val="2"/>
          </rPr>
          <t xml:space="preserve">Preis pro Einheit in [Euro/GJ]
</t>
        </r>
        <r>
          <rPr>
            <sz val="8"/>
            <color indexed="81"/>
            <rFont val="Tahoma"/>
            <family val="2"/>
          </rPr>
          <t xml:space="preserve">
Neben den bereits genannten Einheiten wird der Brennstoffpreis auch in der Einheit Euro/GJ dargestellt. Die Umrechnung erfolgt von Euro pro MWh in Euro pro GJ mit dem Faktor 3,6 (1 MWh = 3,6 GJ).
Beispiel: Lärche, Holzhackgut G30, Wassergehalt 30 % 
=&gt; 1 m³ entspricht 1*1*1 m bzw. 1 srm lose geschüttetem Hackgut mit ca. 970 kWh/srm Energieinhalt 
=&gt; Preiseingabe in Euro/MWh mit "17,00" 
=&gt; sofortige Umrechnung in 84,77 Euro/t TS bzw. 59,34 Euro/t FS bzw. 16,52 Euro/m³ (entspricht Euro/srm) bzw. 4,72 Euro/GJ.
</t>
        </r>
      </text>
    </comment>
    <comment ref="F53" authorId="0" shapeId="0">
      <text>
        <r>
          <rPr>
            <b/>
            <sz val="8"/>
            <color indexed="81"/>
            <rFont val="Tahoma"/>
            <family val="2"/>
          </rPr>
          <t xml:space="preserve">Wärmebedarf ab Kesselflansch [MWh/a]
</t>
        </r>
        <r>
          <rPr>
            <sz val="8"/>
            <color indexed="81"/>
            <rFont val="Tahoma"/>
            <family val="2"/>
          </rPr>
          <t xml:space="preserve">Abzudeckender Wärmebedarf für Raumwärme, Warmwasser u/o Prozesswärme, inkl. ev. Transport- und Verteilverluste bis zum Endverbraucher. 
Ein Kessel zur Eigenversorgung von Raumwärme und Warmwasser läuft in Österreich etw 1.500 h/a unter Volllast (bezogen auf seine Nennleistng bzw. Abgabe ab Kesselflansch).. Hat der Kessel eine Nennleistung von 100 kW, so würde er 150.000 kWh/a bzw. 150 MWh/a Wärmebedarf ab Kesselflansch abdekcen.
Würde eine Anlage über ein Mikronetz mehrere Gebäude mit Raumwärme und Warmwasser versorgen, so müssten auch die Transport- und Verteilverluste berücksichtigt werden. 
Für einen Fall mit vier Wärmeabnehmern mit einem Wärmebedarf von jeweils 25 kW Heizlast mit 1.500 Volllaststunden und Wärmelieferverlusten von 20% der produzierten Wärme belaufen sich der Wärmebedarf vereinfacht ab Kesselflansch auf 4 x 25 x 1500  / (1 - 20%) = 187.5 MWh/a.
</t>
        </r>
      </text>
    </comment>
    <comment ref="H54" authorId="3" shapeId="0">
      <text>
        <r>
          <rPr>
            <sz val="9"/>
            <color indexed="81"/>
            <rFont val="Tahoma"/>
            <family val="2"/>
          </rPr>
          <t xml:space="preserve">Kessel-Jahresnutzungsgrad
Biomassekessel
</t>
        </r>
      </text>
    </comment>
    <comment ref="P54" authorId="3" shapeId="0">
      <text>
        <r>
          <rPr>
            <sz val="9"/>
            <color indexed="81"/>
            <rFont val="Tahoma"/>
            <family val="2"/>
          </rPr>
          <t xml:space="preserve">Kessel-Jahresnutzungsgrad
Spitzenlastkessel
</t>
        </r>
      </text>
    </comment>
    <comment ref="R54" authorId="3" shapeId="0">
      <text>
        <r>
          <rPr>
            <b/>
            <sz val="9"/>
            <color indexed="81"/>
            <rFont val="Tahoma"/>
            <family val="2"/>
          </rPr>
          <t xml:space="preserve">
</t>
        </r>
        <r>
          <rPr>
            <sz val="9"/>
            <color indexed="81"/>
            <rFont val="Tahoma"/>
            <family val="2"/>
          </rPr>
          <t>Kessel-Jahresnutzungsgrad</t>
        </r>
      </text>
    </comment>
    <comment ref="F55" authorId="0" shapeId="0">
      <text>
        <r>
          <rPr>
            <b/>
            <sz val="8"/>
            <color indexed="81"/>
            <rFont val="Tahoma"/>
            <family val="2"/>
          </rPr>
          <t>Brennstofffanteil [%]</t>
        </r>
        <r>
          <rPr>
            <sz val="8"/>
            <color indexed="81"/>
            <rFont val="Tahoma"/>
            <family val="2"/>
          </rPr>
          <t xml:space="preserve">
Geben Sie in die hellroten Zellen dieser Zeile die gewünschten Brennstoffanteile in % für die von Ihnen gewählten Brennstoffe für die Biomasse-Heizungsanlage ein.
Die Summe der einzelnen Brennstoffanteile muss immer 100 % ergeben, von 100 % abweichende Fehleingaben werden in der Summenzelle durch eine dunkelrote Hintergrundfärbung deutlich hervorgehoben.</t>
        </r>
      </text>
    </comment>
    <comment ref="F56" authorId="0" shapeId="0">
      <text>
        <r>
          <rPr>
            <b/>
            <sz val="8"/>
            <color indexed="81"/>
            <rFont val="Tahoma"/>
            <family val="2"/>
          </rPr>
          <t>Brennstoffbedarf pro Jahr [MWh/a]</t>
        </r>
        <r>
          <rPr>
            <sz val="8"/>
            <color indexed="81"/>
            <rFont val="Tahoma"/>
            <family val="2"/>
          </rPr>
          <t xml:space="preserve">
Der Jahresbrennstoffbedarf einer Anlage ergibt sich aus dem Wärmebedarf ab Kesselflansch [MWh/a] diividiert durch die gewicheteten Jahresnutzungsgrad e[%] der eingesetzten Biomasse- und Spitzenlastkessel.
</t>
        </r>
      </text>
    </comment>
    <comment ref="F57" authorId="0" shapeId="0">
      <text>
        <r>
          <rPr>
            <b/>
            <sz val="8"/>
            <color indexed="81"/>
            <rFont val="Tahoma"/>
            <family val="2"/>
          </rPr>
          <t>Brennstoffvolumen [m³ FS/a]</t>
        </r>
        <r>
          <rPr>
            <sz val="8"/>
            <color indexed="81"/>
            <rFont val="Tahoma"/>
            <family val="2"/>
          </rPr>
          <t xml:space="preserve">
Ausgehend vom eingetragenen Brennstoffbedarf in MWh/a und gemäß der angegebenen Prozentanteile für die gewählten Brennstoffe wird das benötigte Brennstoffvolumen pro Sortiment und das benötigte Gesamtbrennstoffvolumen der Anlage in m³ Frischsubstanz (FS) pro Jahr abgeschätzt.
Das m³-Maß bezieht sich hierbei auf die jeweils oben eingestellten Sortimente, es ist daher darauf zu achten, dass bei Mischsortimenten gleiche Volumenbezüge (fm - rm - srm) gewählt werden, um Fehlinterpretationen des benötigten Gesamtbrennstoffvolumens zu vermeiden.
Beispiel: Ein Biomasseheizwerk mit 1 MW Brennstoffwärmeleistung und 1.500 h Volllasstunden hat einen Brennstoffbedarf von ca. 1.500 MWh pro Jahr. Der Brennstoffbedarf wird zu 70 % mit NH &amp; LH Hackgut G50 (durchschnittlich 35 % Wassergehalt) und zu 30 % mit Nadelholzrinde geschüttet (durchschnittlich 50 % WG) abgedeckt. Das benötigte Brennstoffvolumen wird mit ca. 2.350 srm pro Jahr abgeschätzt. LKW-Züge, die für den Hackguttransport konzipiert sind, können etwa 80 srm pro Fuhre befördern. Für die Abdeckung des Brennstoffbedarfes dieses Heizwerkes wären daher ca. 30 LKW-Fuhren Hackgut und Rinde notwendig.</t>
        </r>
      </text>
    </comment>
    <comment ref="F58" authorId="0" shapeId="0">
      <text>
        <r>
          <rPr>
            <b/>
            <sz val="8"/>
            <color indexed="81"/>
            <rFont val="Tahoma"/>
            <family val="2"/>
          </rPr>
          <t>Brennstoffgewicht als Trockensubstanz [t TS/a] bzw. [t-atro/a]</t>
        </r>
        <r>
          <rPr>
            <sz val="8"/>
            <color indexed="81"/>
            <rFont val="Tahoma"/>
            <family val="2"/>
          </rPr>
          <t xml:space="preserve">
Ausgehend vom eingetragenen Brennstoffbedarf in MWh/a und gemäß der angegebenen Prozentanteile für die gewählten Brennstoffe wird das benötigte Brennstoffgewicht pro Sortiment und das benötigte Gesamtbrennstoffgewicht für die Anlage in Tonnen Trockensubstanz pro Jahr [t TS/a] bzw. t-atro pro Jahr [t-atro/a] abgeschätzt.
Die Holzübernahme in atro-Tonnen ist eine übliche Handelsusance bei Industrieholzsortimenten geringerer Qualität, die häufig verwendete Kurzbezeichnung </t>
        </r>
        <r>
          <rPr>
            <b/>
            <sz val="8"/>
            <color indexed="81"/>
            <rFont val="Tahoma"/>
            <family val="2"/>
          </rPr>
          <t>AMM</t>
        </r>
        <r>
          <rPr>
            <sz val="8"/>
            <color indexed="81"/>
            <rFont val="Tahoma"/>
            <family val="2"/>
          </rPr>
          <t xml:space="preserve"> bedeutet </t>
        </r>
        <r>
          <rPr>
            <b/>
            <sz val="8"/>
            <color indexed="81"/>
            <rFont val="Tahoma"/>
            <family val="2"/>
          </rPr>
          <t>A</t>
        </r>
        <r>
          <rPr>
            <sz val="8"/>
            <color indexed="81"/>
            <rFont val="Tahoma"/>
            <family val="2"/>
          </rPr>
          <t xml:space="preserve">tro Tonne, </t>
        </r>
        <r>
          <rPr>
            <b/>
            <sz val="8"/>
            <color indexed="81"/>
            <rFont val="Tahoma"/>
            <family val="2"/>
          </rPr>
          <t>M</t>
        </r>
        <r>
          <rPr>
            <sz val="8"/>
            <color indexed="81"/>
            <rFont val="Tahoma"/>
            <family val="2"/>
          </rPr>
          <t xml:space="preserve">it Rinde geliefert, </t>
        </r>
        <r>
          <rPr>
            <b/>
            <sz val="8"/>
            <color indexed="81"/>
            <rFont val="Tahoma"/>
            <family val="2"/>
          </rPr>
          <t>M</t>
        </r>
        <r>
          <rPr>
            <sz val="8"/>
            <color indexed="81"/>
            <rFont val="Tahoma"/>
            <family val="2"/>
          </rPr>
          <t>it Rinde verrechnet
Beispiel: Ein Biomasseheizwerk mit 1 MW Brennstoffwärmeleistung und 1.500 h Volllasstunden hat einen Brennstoffbedarf von ca. 1.500 MWh pro Jahr. Der Brennstoffbedarf wird zu 70 % mit NH &amp; LH Hackgut G50 (durchschnittlich 35 % Wassergehalt) und zu 30 % mit Nadelholzrinde geschüttet (durchschnittlich 50 % WG) abgedeckt. Das benötigte Brennstoffgewicht wird mit ca. 314 Tonnen Trockensubstanz bzw. t-atro pro Jahr abgeschätzt.</t>
        </r>
      </text>
    </comment>
    <comment ref="F59" authorId="0" shapeId="0">
      <text>
        <r>
          <rPr>
            <b/>
            <sz val="8"/>
            <color indexed="81"/>
            <rFont val="Tahoma"/>
            <family val="2"/>
          </rPr>
          <t>Brennstoffgewicht der Frischsubstanz [t FS/a] bzw. [t-lutro/a]</t>
        </r>
        <r>
          <rPr>
            <sz val="8"/>
            <color indexed="81"/>
            <rFont val="Tahoma"/>
            <family val="2"/>
          </rPr>
          <t xml:space="preserve">
Ausgehend vom eingetragenen Brennstoffbedarf in MWh/a und gemäß der angegebenen Prozentanteile für die gewählten Brennstoffe wird das benötigte Brennstoffgewicht pro Sortiment und das benötigte Gesamtbrennstoffgewicht für die Anlage in Tonnen Frischsubstanz pro Jahr [t FS/a] bzw. t-lutro pro Jahr [t-lutro/a] abgeschätzt.
Beispiel: Ein Biomasseheizwerk mit 1 MW Brennstoffwärmeleistung und 1.500 h Volllasstunden hat einen Brennstoffbedarf von ca. 1.500 MWh pro Jahr. Der Brennstoffbedarf wird zu 70 % mit NH &amp; LH Hackgut G50 (durchschnittlich 35 % Wassergehalt) und zu 30 % mit Nadelholzrinde geschüttet (durchschnittlich 50 % WG) abgedeckt. Das benötigte Brennstoffgewicht wird mit ca. 528 Tonnen Frischsubstanz bzw. t-lutro pro Jahr abgeschätzt.</t>
        </r>
      </text>
    </comment>
    <comment ref="F60" authorId="4" shapeId="0">
      <text>
        <r>
          <rPr>
            <b/>
            <sz val="8"/>
            <color indexed="81"/>
            <rFont val="Tahoma"/>
            <family val="2"/>
          </rPr>
          <t xml:space="preserve">Aschengewicht (Schätzwert) [t/a] </t>
        </r>
        <r>
          <rPr>
            <sz val="8"/>
            <color indexed="81"/>
            <rFont val="Tahoma"/>
            <family val="2"/>
          </rPr>
          <t xml:space="preserve">
Ausgehend vom eingetragenen Brennstoffbedarf in MWh/a und gemäß der angegebenen Prozentanteile für die gewählten Brennstoffe wird das Gewicht der anfallenden Asche pro Sortiment und für die gesamte Anlage in Tonnen pro Jahr [t/a] abgeschätzt.
Beispiel: Ein Biomasseheizwerk mit 1 MW Brennstoffwärmeleistung und 1.500 h Volllasstunden hat einen Brennstoffbedarf von ca. 1.500 MWh pro Jahr. Der Brennstoffbedarf wird zu 70 % mit NH &amp; LH Hackgut G50 (durchschnittlich 35 % Wassergehalt, 1,5 % Aschengehalt) und zu 30 % mit Nadelholzrinde geschüttet (durchschnittlich 50 % WG, 6 % Aschengehalt) abgedeckt. Die im Verbrennungsprozess anfallende Aschenmenge wird auf ca. 12 Tonnen pro Jahr geschätzt.</t>
        </r>
      </text>
    </comment>
    <comment ref="F61" authorId="4" shapeId="0">
      <text>
        <r>
          <rPr>
            <b/>
            <sz val="8"/>
            <color indexed="81"/>
            <rFont val="Tahoma"/>
            <family val="2"/>
          </rPr>
          <t>Aschenvolumen (Schätzwert) [m³/a]</t>
        </r>
        <r>
          <rPr>
            <sz val="8"/>
            <color indexed="81"/>
            <rFont val="Tahoma"/>
            <family val="2"/>
          </rPr>
          <t xml:space="preserve"> 
Ausgehend vom eingetragenen Brennstoffbedarf in MWh/a und gemäß der angegebenen Prozentanteile für die gewählten Brennstoffe wird das Volumen der anfallenden Asche pro Sortiment und für die gesamte Anlage in m³ pro Jahr [m³/a] abgeschätzt.
Beispiel: Ein Biomasseheizwerk mit 1 MW Brennstoffwärmeleistung und 1.500 h Volllasstunden hat einen Brennstoffbedarf von ca. 1.500 MWh pro Jahr. Der Brennstoffbedarf wird zu 70 % mit NH &amp; LH Hackgut G50 (durchschnittlich 35 % Wassergehalt, 1,5 % Aschengehalt mit ca. 700 kg/m³ Aschendichte) und zu 30 % mit Nadelholzrinde geschüttet (durchschnittlich 50 % WG, 6 % Aschengehalt mit ca. 700 kg/m³ Aschendichte) abgedeckt. Die im Verbrennungsprozess anfallende Aschenmenge wird auf ca. 16 m³ pro Jahr geschätzt.</t>
        </r>
      </text>
    </comment>
    <comment ref="F62" authorId="4" shapeId="0">
      <text>
        <r>
          <rPr>
            <b/>
            <sz val="8"/>
            <color indexed="81"/>
            <rFont val="Tahoma"/>
            <family val="2"/>
          </rPr>
          <t>Brennstoffkosten pro Jahr [Euro/a]</t>
        </r>
        <r>
          <rPr>
            <sz val="8"/>
            <color indexed="81"/>
            <rFont val="Tahoma"/>
            <family val="2"/>
          </rPr>
          <t xml:space="preserve">
Ausgehend vom eingetragenen Brennstoffbedarf in MWh/a und gemäß der angegebenen Prozentanteile für die gewählten Brennstoffe werden die Brennstoffkosten pro Sortiment und für die gesamte Anlage in Euro pro Jahr [Euro/a] ermittelt.
Beispiel: Ein Biomasseheizwerk mit 1 MW Brennstoffwärmeleistung und 1.500 h Volllasstunden hat einen Brennstoffbedarf von ca. 1.500 MWh pro Jahr. Der Brennstoffbedarf wird zu 70 % mit NH &amp; LH Hackgut G50 (durchschnittlich 35 % Wassergehalt, Einkauf um 80,-- Euro/t TS) und zu 30 % mit Nadelholzrinde geschüttet  (durchschnittlich 50 % WG, Einkauf um 7,-- Euro/srm) abgedeckt. Die Brennstoffkosten summieren sich auf ca. 23.000,-- Euro pro Jahr.</t>
        </r>
      </text>
    </comment>
    <comment ref="F65" authorId="4" shapeId="0">
      <text>
        <r>
          <rPr>
            <b/>
            <sz val="8"/>
            <color indexed="81"/>
            <rFont val="Tahoma"/>
            <family val="2"/>
          </rPr>
          <t>Brennstoff Mischpreis [Euro/MWh]</t>
        </r>
        <r>
          <rPr>
            <sz val="8"/>
            <color indexed="81"/>
            <rFont val="Tahoma"/>
            <family val="2"/>
          </rPr>
          <t xml:space="preserve">
Ausgehend vom eingetragenen Brennstoffbedarf in MWh/a und gemäß der angegebenen Prozentanteile für die gewählten Brennstoffe wird der Mischpreis für den Brennstoff in Euro pro MWh [Euro/MWh] ermittelt.
Beispiel: Ein Biomasseheizwerk mit 1 MW Brennstoffwärmeleistung und 1.500 h Volllasstunden hat einen Brennstoffbedarf von ca. 1.500 MWh pro Jahr. Der Brennstoffbedarf wird zu 70 % mit NH &amp; LH Hackgut G50 (durchschnittlich 35 % Wassergehalt, Einkauf um 80,-- Euro/t TS) und zu 30 % mit Nadelholzrinde geschüttet (durchschnittlich 50 % WG, Einkauf um 7,-- Euro/srm) abgedeckt. Die Brennstoffkosten summieren sich auf ca. 23.000,-- Euro pro Jahr. Dies entspricht einem Brennstoffmischpreis von ca. 15,-- Euro pro MWh.</t>
        </r>
      </text>
    </comment>
  </commentList>
</comments>
</file>

<file path=xl/comments2.xml><?xml version="1.0" encoding="utf-8"?>
<comments xmlns="http://schemas.openxmlformats.org/spreadsheetml/2006/main">
  <authors>
    <author>Kasimir P. Nemestothy</author>
    <author>nope</author>
  </authors>
  <commentList>
    <comment ref="B7" authorId="0" shapeId="0">
      <text>
        <r>
          <rPr>
            <sz val="8"/>
            <color indexed="81"/>
            <rFont val="Tahoma"/>
            <family val="2"/>
          </rPr>
          <t>Die mittlere Darrdichte und das mittlere Schwindmaß des Mischsortiments kann je nach Holzartenanteilen und Herkünften einer großen Variabilität unterliegen und stark vom Tabellenwert abweichen.</t>
        </r>
      </text>
    </comment>
    <comment ref="B8" authorId="0" shapeId="0">
      <text>
        <r>
          <rPr>
            <sz val="8"/>
            <color indexed="81"/>
            <rFont val="Tahoma"/>
            <family val="2"/>
          </rPr>
          <t>Die mittlere Darrdichte und das mittlere Schwindmaß des Mischsortiments kann je nach Holzartenanteilen und Herkünften einer großen Variabilität unterliegen und stark vom Tabellenwert abweichen.</t>
        </r>
      </text>
    </comment>
    <comment ref="B26" authorId="0" shapeId="0">
      <text>
        <r>
          <rPr>
            <sz val="8"/>
            <color indexed="81"/>
            <rFont val="Tahoma"/>
            <family val="2"/>
          </rPr>
          <t>Die mittlere Darrdichte und das mittlere Schwindmaß des Mischsortiments kann je nach Holzartenanteilen und Herkünften einer großen Variabilität unterliegen und stark vom Tabellenwert abweichen.</t>
        </r>
      </text>
    </comment>
    <comment ref="B27" authorId="0" shapeId="0">
      <text>
        <r>
          <rPr>
            <sz val="8"/>
            <color indexed="81"/>
            <rFont val="Tahoma"/>
            <family val="2"/>
          </rPr>
          <t>Die mittlere Darrdichte und das mittlere Schwindmaß des Mischsortiments kann je nach Holzartenanteilen und Herkünften einer großen Variabilität unterliegen und stark vom Tabellenwert abweichen.</t>
        </r>
      </text>
    </comment>
    <comment ref="B28" authorId="0" shapeId="0">
      <text>
        <r>
          <rPr>
            <sz val="8"/>
            <color indexed="81"/>
            <rFont val="Tahoma"/>
            <family val="2"/>
          </rPr>
          <t>Die mittlere Darrdichte und das mittlere Schwindmaß des Mischsortiments kann je nach Holzartenanteilen und Herkünften einer großen Variabilität unterliegen und stark vom Tabellenwert abweichen.</t>
        </r>
      </text>
    </comment>
    <comment ref="B80" authorId="1" shapeId="0">
      <text>
        <r>
          <rPr>
            <sz val="8"/>
            <color indexed="81"/>
            <rFont val="Tahoma"/>
            <family val="2"/>
          </rPr>
          <t>Für Holzbriketts bestehen aufgrund der sehr vielfältigen Formen keine allgemein gültigen Angaben zur Dichte im wasserfreien Zustand. Für die Berechnung wurde daher die Dichte im wasserfreien Zustand in kg/m³ auf Basis eines häufig eingesetzten Briketttyps abgeschätzt:
Briketttyp: Rund mit Loch
Durchmesser: 9,5 cm
Länge: 30 cm
Zu beachten ist, dass dieser Wert nur eine Abschätzung für einen bestimmten Briketttyp und für eine bestimmte Stapelart darstellt, bei anderen Briketttypen bzw. Stapelweisen kann es zu erheblichen Abweichungen kommen!</t>
        </r>
      </text>
    </comment>
    <comment ref="B81" authorId="1" shapeId="0">
      <text>
        <r>
          <rPr>
            <sz val="8"/>
            <color indexed="81"/>
            <rFont val="Tahoma"/>
            <family val="2"/>
          </rPr>
          <t>Für Rindenbriketts bestehen aufgrund der sehr vielfältigen Formen keine allgemein gültigen Angaben zur Dichte im wasserfreien Zustand. Für die Berechnung wurde daher die Dichte im wasserfreien Zustand in kg/m³ auf Basis eines häufig eingesetzten Briketttyps abgeschätzt:
Briketttyp: Rund mit Loch
Durchmesser: 9,5 cm
Länge: 30 cm
Zu beachten ist, dass dieser Wert nur eine Abschätzung für einen bestimmten Briketttyp und für eine bestimmte Stapelart darstellt, bei anderen Briketttypen bzw. Stapelweisen kann es zu erheblichen Abweichungen kommen!</t>
        </r>
      </text>
    </comment>
  </commentList>
</comments>
</file>

<file path=xl/sharedStrings.xml><?xml version="1.0" encoding="utf-8"?>
<sst xmlns="http://schemas.openxmlformats.org/spreadsheetml/2006/main" count="1036" uniqueCount="447">
  <si>
    <t>MJ/kg FS</t>
  </si>
  <si>
    <t>kWh/kg FS</t>
  </si>
  <si>
    <t>MJ/m³ FS</t>
  </si>
  <si>
    <t>kWh/m³ FS</t>
  </si>
  <si>
    <t>kg/m³</t>
  </si>
  <si>
    <t>Wasserstoffgehalt (H)</t>
  </si>
  <si>
    <t>MJ/kg TS</t>
  </si>
  <si>
    <t>% (Gewicht, TS)</t>
  </si>
  <si>
    <t>% (Gewicht, FS)</t>
  </si>
  <si>
    <t>Preis pro Einheit</t>
  </si>
  <si>
    <t>Brennstoffkosten pro Jahr</t>
  </si>
  <si>
    <t>Brennstoffvolumen</t>
  </si>
  <si>
    <t>Brennstoffgewicht</t>
  </si>
  <si>
    <t>Aschendichte (Schätzwert)</t>
  </si>
  <si>
    <t>Aschenvolumen (Schätzwert)</t>
  </si>
  <si>
    <t>Eiche</t>
  </si>
  <si>
    <t>Nadelholz</t>
  </si>
  <si>
    <t>Laubholz</t>
  </si>
  <si>
    <t>Fichte</t>
  </si>
  <si>
    <t>%</t>
  </si>
  <si>
    <t>kWh/kg TS</t>
  </si>
  <si>
    <t>Umrechnungsfaktor</t>
  </si>
  <si>
    <t>Pappel</t>
  </si>
  <si>
    <t>Tanne</t>
  </si>
  <si>
    <t>Erle</t>
  </si>
  <si>
    <t>Lärche</t>
  </si>
  <si>
    <t>Ahorn</t>
  </si>
  <si>
    <t>Esche</t>
  </si>
  <si>
    <t>Birke</t>
  </si>
  <si>
    <t>NH &amp; LH</t>
  </si>
  <si>
    <t>Gruppe</t>
  </si>
  <si>
    <t>Mittlere Darrdichte</t>
  </si>
  <si>
    <t>Weide</t>
  </si>
  <si>
    <t>Hasel</t>
  </si>
  <si>
    <t>Robinie</t>
  </si>
  <si>
    <t>NH Mischung</t>
  </si>
  <si>
    <t>LH Mischung</t>
  </si>
  <si>
    <t>Douglasie</t>
  </si>
  <si>
    <t>Kalkulationsblatt zur Ermittlung von Kenndaten und Preisen für Energieholzsortimente</t>
  </si>
  <si>
    <t>Aschengehalt (Schätzwert)</t>
  </si>
  <si>
    <t>Mittleres Schwindmaß</t>
  </si>
  <si>
    <t>Brennstoffbedarf pro Jahr</t>
  </si>
  <si>
    <t>Aschengewicht (Schätzwert)</t>
  </si>
  <si>
    <t>t /a</t>
  </si>
  <si>
    <t>m³ /a</t>
  </si>
  <si>
    <t>m³ FS /a</t>
  </si>
  <si>
    <t>Presslinge</t>
  </si>
  <si>
    <t>Rinde</t>
  </si>
  <si>
    <t>Rinde NH</t>
  </si>
  <si>
    <t>Sortiment</t>
  </si>
  <si>
    <t>Umrechnung</t>
  </si>
  <si>
    <t>Aschengehalt</t>
  </si>
  <si>
    <t>fm</t>
  </si>
  <si>
    <t>Einheit</t>
  </si>
  <si>
    <t>rm</t>
  </si>
  <si>
    <t>Rinde LH</t>
  </si>
  <si>
    <t>Holzarten</t>
  </si>
  <si>
    <t>Verhältniszahl m³ pro t FS</t>
  </si>
  <si>
    <t>m³/t FS</t>
  </si>
  <si>
    <t>Anlagendaten</t>
  </si>
  <si>
    <t>Wasseranteil</t>
  </si>
  <si>
    <t>Grundeingabe</t>
  </si>
  <si>
    <t>Euro/m³ FS</t>
  </si>
  <si>
    <t>Euro/MWh</t>
  </si>
  <si>
    <t>Euro/GJ</t>
  </si>
  <si>
    <t>Aschenanfall</t>
  </si>
  <si>
    <t>Euro/a</t>
  </si>
  <si>
    <t>Sägespäne</t>
  </si>
  <si>
    <t>m³</t>
  </si>
  <si>
    <t>Feste Rindenmasse</t>
  </si>
  <si>
    <t>-</t>
  </si>
  <si>
    <t>1)</t>
  </si>
  <si>
    <t>Bemerkung</t>
  </si>
  <si>
    <t>DG</t>
  </si>
  <si>
    <t>FI</t>
  </si>
  <si>
    <t>LA</t>
  </si>
  <si>
    <t>SK</t>
  </si>
  <si>
    <t>KW</t>
  </si>
  <si>
    <t>TA</t>
  </si>
  <si>
    <t>KI</t>
  </si>
  <si>
    <t>ZI</t>
  </si>
  <si>
    <t>SA</t>
  </si>
  <si>
    <t>BI</t>
  </si>
  <si>
    <t>EI</t>
  </si>
  <si>
    <t>ER</t>
  </si>
  <si>
    <t>ES</t>
  </si>
  <si>
    <t>HA</t>
  </si>
  <si>
    <t>PA</t>
  </si>
  <si>
    <t>RO</t>
  </si>
  <si>
    <t>BU</t>
  </si>
  <si>
    <t>WD</t>
  </si>
  <si>
    <t>HB</t>
  </si>
  <si>
    <t>EZ</t>
  </si>
  <si>
    <t>AS</t>
  </si>
  <si>
    <t>BA</t>
  </si>
  <si>
    <t>Birnbaum</t>
  </si>
  <si>
    <t>BB</t>
  </si>
  <si>
    <t>EK</t>
  </si>
  <si>
    <t>Elsbeere</t>
  </si>
  <si>
    <t>EL</t>
  </si>
  <si>
    <t>KB</t>
  </si>
  <si>
    <t>Linde</t>
  </si>
  <si>
    <t>LI</t>
  </si>
  <si>
    <t>NB</t>
  </si>
  <si>
    <t>Ulme</t>
  </si>
  <si>
    <t>UL</t>
  </si>
  <si>
    <t>2)</t>
  </si>
  <si>
    <t>5)</t>
  </si>
  <si>
    <t>Kiefer, Schwarz-</t>
  </si>
  <si>
    <t>Kiefer, Weiß-</t>
  </si>
  <si>
    <t>Eiche, Zerr-</t>
  </si>
  <si>
    <t>Buche, Weiß-</t>
  </si>
  <si>
    <t>Buche, Rot-</t>
  </si>
  <si>
    <t>Pellets, Holz-</t>
  </si>
  <si>
    <t>Briketts, Holz-</t>
  </si>
  <si>
    <t>Pellets, Rinden-</t>
  </si>
  <si>
    <t>Briketts, Rinden-</t>
  </si>
  <si>
    <t>Ahorn, Berg-</t>
  </si>
  <si>
    <t>Ahorn, Spitz-</t>
  </si>
  <si>
    <t>Holz- bzw. Brennstoffart</t>
  </si>
  <si>
    <t>Brennstoffgruppe</t>
  </si>
  <si>
    <t>srm</t>
  </si>
  <si>
    <t>Dichte</t>
  </si>
  <si>
    <t>Auswahl im Drop-Down-Menü</t>
  </si>
  <si>
    <t>NH &amp; LH Mischung</t>
  </si>
  <si>
    <t>Nadelholz (NH)</t>
  </si>
  <si>
    <t>Laubholz (LH)</t>
  </si>
  <si>
    <t>Brennwert (Ho)</t>
  </si>
  <si>
    <t>Heizwert (Hu)</t>
  </si>
  <si>
    <t xml:space="preserve"> - Anteil der Holzsubstanz</t>
  </si>
  <si>
    <t xml:space="preserve"> - Anteil des Wassers</t>
  </si>
  <si>
    <t>Zuordnung zu Gruppen</t>
  </si>
  <si>
    <t>Übliches Handelsmaß</t>
  </si>
  <si>
    <t>Ho der Trockensubstanz (TS)</t>
  </si>
  <si>
    <t>Ho der TS</t>
  </si>
  <si>
    <t>Hu der TS</t>
  </si>
  <si>
    <t>Hu der Frischsubstanz (FS)</t>
  </si>
  <si>
    <t>Hu der FS</t>
  </si>
  <si>
    <t xml:space="preserve">Hu der TS </t>
  </si>
  <si>
    <t xml:space="preserve">Hu der FS </t>
  </si>
  <si>
    <t>Roh- bzw. Lagerungsdichte</t>
  </si>
  <si>
    <t>MWh/a</t>
  </si>
  <si>
    <t>Botanisch</t>
  </si>
  <si>
    <t>Kurz-
zeichen</t>
  </si>
  <si>
    <t>Brenn-
wert</t>
  </si>
  <si>
    <t>Sonstige Bezeichnung</t>
  </si>
  <si>
    <t>2) Kollmann, F. (1951): Technologie des Holzes und der Holzwerkstoffe, Springer Verlag.</t>
  </si>
  <si>
    <t>3) Wagenführ, R. und Scheiber, C. (1985): Holzatlas, 2. Auflage. VEB Fachbuchverlag Leipzig. || Wagenführ, R. (2004): Bildlexikon Holz, 2. verb. u. erw. Auflage, Fachbuchverlag Leipzig</t>
  </si>
  <si>
    <t>4) Jonas, A. et al (2005): Energie aus Holz, Informationsbrochüre der Landwirtschaftskammer, 9. überarbeitete Auflage, Landeslandwirtschaftskammer NÖ</t>
  </si>
  <si>
    <t>5) Österreichische Energieagentur</t>
  </si>
  <si>
    <t>1) ÖNORM B 3012 Holzarten - Kennwerte zu den Benennungen und Kurzzeichen der ÖNORM EN 13556</t>
  </si>
  <si>
    <t>Sortier-
ung</t>
  </si>
  <si>
    <t xml:space="preserve"> -</t>
  </si>
  <si>
    <t xml:space="preserve">Darrdichte und Schwindmaß wurden durch Gewichtung entsprechend der Nutzung der Baumarten gemäß österr. Waldinventur ermittelt. </t>
  </si>
  <si>
    <t>Pseudotsuga menziesii</t>
  </si>
  <si>
    <t>Eibe</t>
  </si>
  <si>
    <t>Taxus baccata</t>
  </si>
  <si>
    <t>3)</t>
  </si>
  <si>
    <t>Picea abies</t>
  </si>
  <si>
    <t>Rottanne (Picea excelsa), Gemeine Fichte, Rotfichte</t>
  </si>
  <si>
    <t>Fichte, Sitka-</t>
  </si>
  <si>
    <t>FIS</t>
  </si>
  <si>
    <t>Picea sitchensis</t>
  </si>
  <si>
    <t>Hemlock</t>
  </si>
  <si>
    <t>HEM</t>
  </si>
  <si>
    <t>Tsuga heterophylla</t>
  </si>
  <si>
    <t>Western Hemlock</t>
  </si>
  <si>
    <t>Kiefer</t>
  </si>
  <si>
    <t>Pinus sylvestris</t>
  </si>
  <si>
    <t>Weißkiefer, Föhre</t>
  </si>
  <si>
    <t>Kiefer, Radiata-</t>
  </si>
  <si>
    <t>KRA, PNRD</t>
  </si>
  <si>
    <t>Pinus radiata</t>
  </si>
  <si>
    <t>Radiata pine</t>
  </si>
  <si>
    <t>Umgangssprachlich wird in Österreich die Weißkiefer bzw. Föhre häufig verkürzt als "Kiefer" bezeichnet.</t>
  </si>
  <si>
    <t>Der mittlere Rohdichtewert ist in der Norm möglicherweise fehlerhaft abgedruckt (410 statt 510 kg/m³ ?).</t>
  </si>
  <si>
    <t>Pinus nigra</t>
  </si>
  <si>
    <t>Kiefer, Föhre, Gemeine Kiefer, Rot-, Sandkiefer</t>
  </si>
  <si>
    <t>Kiefer, Weymouths-</t>
  </si>
  <si>
    <t>Pinus strobus</t>
  </si>
  <si>
    <t>Strobe, Yellow pine</t>
  </si>
  <si>
    <t>Kiefer, Zirbel-</t>
  </si>
  <si>
    <t>Pinus cembra</t>
  </si>
  <si>
    <t>Zirbe, Arve</t>
  </si>
  <si>
    <t>Larix decidua</t>
  </si>
  <si>
    <t>Europäische Lärche</t>
  </si>
  <si>
    <t>Redwood</t>
  </si>
  <si>
    <t>RWK</t>
  </si>
  <si>
    <t>Sequoia sempervirens</t>
  </si>
  <si>
    <t>Kalifornisches Redwood</t>
  </si>
  <si>
    <t>Riesenlebensbaum</t>
  </si>
  <si>
    <t>RCW, THPL</t>
  </si>
  <si>
    <t>Thuja plicata</t>
  </si>
  <si>
    <t>Western red cedar, Kanadische Rotzeder</t>
  </si>
  <si>
    <t>Abies alba</t>
  </si>
  <si>
    <t>Weißtanne</t>
  </si>
  <si>
    <t>Zeder</t>
  </si>
  <si>
    <t>ZED</t>
  </si>
  <si>
    <t>Cedrus deodara</t>
  </si>
  <si>
    <t>Himalaja-Zeder , Echte Zeder</t>
  </si>
  <si>
    <t>Zypresse</t>
  </si>
  <si>
    <t>ZYP</t>
  </si>
  <si>
    <t>Cypressus sempervirens</t>
  </si>
  <si>
    <t>Echte Zypresse, Immergrüne Zypresse</t>
  </si>
  <si>
    <t>Keine Angabe für mittlere Rohdichte.</t>
  </si>
  <si>
    <t>Hartlaubholz</t>
  </si>
  <si>
    <t>Weichlaubholz</t>
  </si>
  <si>
    <t>Acer sp.</t>
  </si>
  <si>
    <t>Acer pseudoplatanus</t>
  </si>
  <si>
    <t>4)</t>
  </si>
  <si>
    <t>In den Umrechnungstabellen der LWK wird nur ein Wert für "Ahorn", ohne Differenzierung in die verschiedenen Ahornarten, verwendet.</t>
  </si>
  <si>
    <t>Ahorn, Feld-</t>
  </si>
  <si>
    <t>FA</t>
  </si>
  <si>
    <t>Acer campestre</t>
  </si>
  <si>
    <t>Keine Angaben zur Rohdichte, Schwindmaß als Schätzwert der Energieagentur (Mittelwert zwischen Berg- und Spitzahorn).</t>
  </si>
  <si>
    <t>Acer platanoides</t>
  </si>
  <si>
    <t>Betula sp.</t>
  </si>
  <si>
    <t>Birke, Hänge-</t>
  </si>
  <si>
    <t>Betula pendula (Betula verrucosa)</t>
  </si>
  <si>
    <t>Gemeine Birke, Sandbirke, Weißbirke, Rauhbirke</t>
  </si>
  <si>
    <t>Birke, Moor-</t>
  </si>
  <si>
    <t>Betula pubescens</t>
  </si>
  <si>
    <t>Haarbirke, Flaumbirke</t>
  </si>
  <si>
    <t>Pyrus communis</t>
  </si>
  <si>
    <t>Feldbirne, Holzbirne, Wilde Birne</t>
  </si>
  <si>
    <t>Fagus sylvatica</t>
  </si>
  <si>
    <t>Buche, Gemeine Buche</t>
  </si>
  <si>
    <t>Carpinus betulus</t>
  </si>
  <si>
    <t>Hainbuche, Hagebuche</t>
  </si>
  <si>
    <t>Buchsbaum</t>
  </si>
  <si>
    <t>BUC, BXSM</t>
  </si>
  <si>
    <t>Buxus sempervirens</t>
  </si>
  <si>
    <t>Quercus sp.</t>
  </si>
  <si>
    <t>In den Umrechnungstabellen der LWK wird ein Wert für "Eiche" ohne Differenzierung in die verschiedenen Eichenarten verwendet.</t>
  </si>
  <si>
    <t>Eiche, Rot-</t>
  </si>
  <si>
    <t>EIR</t>
  </si>
  <si>
    <t>Quercus rubra</t>
  </si>
  <si>
    <t>Amerikanische Roteiche, American red oak, Northern red oak, (Quercus borealis)</t>
  </si>
  <si>
    <t>Eiche, Stiel-</t>
  </si>
  <si>
    <t xml:space="preserve">Quercus robur </t>
  </si>
  <si>
    <t>Sommereiche, (Quercus pedunculata Ehrh.), allgem. Europäische Eiche</t>
  </si>
  <si>
    <t>Eiche, Trauben-</t>
  </si>
  <si>
    <t>Quercus petraea</t>
  </si>
  <si>
    <t>Wintereiche, (Quercus sessiliflora Salisb.), allgem. Europäische Eiche</t>
  </si>
  <si>
    <t>Quercus cerris</t>
  </si>
  <si>
    <t>Keine Angaben für Rohdichte.</t>
  </si>
  <si>
    <t>Sorbus torminalis</t>
  </si>
  <si>
    <t>Sorbe, Atlasbaum, Seidenbaum</t>
  </si>
  <si>
    <t>Alnus sp.</t>
  </si>
  <si>
    <t>In der Norm werden Schwarz- und Grauerle in einer Spalte gemeinsam als "Erle" definiert.</t>
  </si>
  <si>
    <t>Erle, Grau-</t>
  </si>
  <si>
    <t>Alnus incana</t>
  </si>
  <si>
    <t>Erle, Schwarz-</t>
  </si>
  <si>
    <t>Alnus glutinosa</t>
  </si>
  <si>
    <t>Erle, Gemeine Erle, Roterle</t>
  </si>
  <si>
    <t>Fraxinus excelsior</t>
  </si>
  <si>
    <t>Gemeine Esche, Waldesche, (im Handel Weiß-, Braun-, Olivesche)</t>
  </si>
  <si>
    <t>Eukalyptus, Blue gum</t>
  </si>
  <si>
    <t>EUG, EUGL</t>
  </si>
  <si>
    <t>Eucalyptus globulus</t>
  </si>
  <si>
    <t>Corylus avellana</t>
  </si>
  <si>
    <t>Haselnuss</t>
  </si>
  <si>
    <t>Hickory</t>
  </si>
  <si>
    <t>HIC, CAXX</t>
  </si>
  <si>
    <t>Carya spp.</t>
  </si>
  <si>
    <t>Echte Hickory, Filzige Hickory</t>
  </si>
  <si>
    <t>Kastanie, Edel-</t>
  </si>
  <si>
    <t>Castanea sativa, Castanea vesca</t>
  </si>
  <si>
    <t>Echte Kastanie, Eßkastanie</t>
  </si>
  <si>
    <t>Kastanie, Ross-</t>
  </si>
  <si>
    <t>KA</t>
  </si>
  <si>
    <t>Aesculus hippocastanum</t>
  </si>
  <si>
    <t>Kirsche, Trauben</t>
  </si>
  <si>
    <t>TK</t>
  </si>
  <si>
    <t>Prunus padus</t>
  </si>
  <si>
    <t>Kirsche, Vogel-</t>
  </si>
  <si>
    <t>Prunus avium, Cerasus avium (Wagenf.)</t>
  </si>
  <si>
    <t>Kirschbaum, Europäische Kirsche, Süßkirsche, Waldkirsche, Wildkirsche</t>
  </si>
  <si>
    <t>Keine Angaben zur Rohdichte, Schwindmaß als Schätzwert der Energieagentur (Schwindmaß der Vogelkirsche).</t>
  </si>
  <si>
    <t>In der Norm werden Sommer- und Winterlinde in einer Spalte gemeinsam als "Linde" definiert.</t>
  </si>
  <si>
    <t>Linde, Sommer-</t>
  </si>
  <si>
    <t>Tilia cordata (Norm), Tilia grandifolia (Kollm.)</t>
  </si>
  <si>
    <t>Linde, Winter-</t>
  </si>
  <si>
    <t>Tilia platyphyllos (Norm), Tilia parvifolia (Kollm.)</t>
  </si>
  <si>
    <t>Mahagoni, Khaya-</t>
  </si>
  <si>
    <t>MAA, KHXX</t>
  </si>
  <si>
    <t>Khaya ivorensis, Khaya grandifoliola</t>
  </si>
  <si>
    <t>Afrikanisches Mahagoni</t>
  </si>
  <si>
    <t>Mehlbeere</t>
  </si>
  <si>
    <t>ME</t>
  </si>
  <si>
    <t>Sorbus aria Crantz</t>
  </si>
  <si>
    <t>Nuss, Schwarz-</t>
  </si>
  <si>
    <t>Juglans nigra</t>
  </si>
  <si>
    <t>Amerikanischer Nußbaum, Schwarze Walnuß</t>
  </si>
  <si>
    <t>Keine Angaben zur Rohdichte, Schwindmaß als Schätzwert der Energieagentur (Mittelwert zwischen Els- und Vogelbeere).</t>
  </si>
  <si>
    <t>Nuss, Wal-</t>
  </si>
  <si>
    <t>Juglans regia</t>
  </si>
  <si>
    <t>Walnussbaum, Europäischer Nussbaum</t>
  </si>
  <si>
    <t>Pappel, Schwarz-</t>
  </si>
  <si>
    <t>Populus nigra</t>
  </si>
  <si>
    <t>Pappel, Zitter-</t>
  </si>
  <si>
    <t>Populus tremula</t>
  </si>
  <si>
    <t>Aspe, Espe</t>
  </si>
  <si>
    <t>Platane</t>
  </si>
  <si>
    <t>PL</t>
  </si>
  <si>
    <t>Platanus sp., Platanus orientalis (Kollm.)</t>
  </si>
  <si>
    <t>Robinia pseudoacacia</t>
  </si>
  <si>
    <t>Falsche Akazie</t>
  </si>
  <si>
    <t>Teak</t>
  </si>
  <si>
    <t>TEK</t>
  </si>
  <si>
    <t>Tectona grandis</t>
  </si>
  <si>
    <t>Darrdichtewert laut Wagenführ wesentlich niedriger als Normwert.</t>
  </si>
  <si>
    <t>Ulmus spp.</t>
  </si>
  <si>
    <t>Ruste, Rüster</t>
  </si>
  <si>
    <t>Ulme, Berg-</t>
  </si>
  <si>
    <t>Ulmus montana</t>
  </si>
  <si>
    <t>Bergrüster</t>
  </si>
  <si>
    <t>Ulme, Feld-</t>
  </si>
  <si>
    <t>Ulmus campestris</t>
  </si>
  <si>
    <t>Feldrüster, Rotrüster</t>
  </si>
  <si>
    <t>Ulme, Flatter-</t>
  </si>
  <si>
    <t>Ulmus effusa</t>
  </si>
  <si>
    <t>Vogelbeere</t>
  </si>
  <si>
    <t>EE</t>
  </si>
  <si>
    <t>Sorbus aucuparia</t>
  </si>
  <si>
    <t>Eberesche, Echte Eberesche, Gemeine Eberesche</t>
  </si>
  <si>
    <t>Salix Sp.</t>
  </si>
  <si>
    <t>Weide, Silber-</t>
  </si>
  <si>
    <t>Salix alba</t>
  </si>
  <si>
    <t>Weißweide, Dorfweide</t>
  </si>
  <si>
    <t>Zwetschkenbaum</t>
  </si>
  <si>
    <t>ZW</t>
  </si>
  <si>
    <t>Prunus domestica</t>
  </si>
  <si>
    <t>Pflaume</t>
  </si>
  <si>
    <t>Keine Angaben zur min. und max. Rohdichte, Schwindmaß als Schätzwert der Energieagentur (Mittelwert zwischen Feldbirne und Vogelkirsche).</t>
  </si>
  <si>
    <t>In der Norm wird die Silberweide verkürzt als "Weide" definiert.</t>
  </si>
  <si>
    <t>Keine Angaben für min. und max. Rohdichte.</t>
  </si>
  <si>
    <t>Darrdichte</t>
  </si>
  <si>
    <t>Rohdichte HF 12-15</t>
  </si>
  <si>
    <t>Quelle</t>
  </si>
  <si>
    <t xml:space="preserve">Quelle </t>
  </si>
  <si>
    <t>H-Gehalt</t>
  </si>
  <si>
    <t>mittlere</t>
  </si>
  <si>
    <t>maximale</t>
  </si>
  <si>
    <t>minimale</t>
  </si>
  <si>
    <t>Schwindmaß</t>
  </si>
  <si>
    <t>mittleres</t>
  </si>
  <si>
    <t>Datenblatt zur Ermittlung von Kenndaten und Preisen für Energieholzsortimente</t>
  </si>
  <si>
    <t>[%]</t>
  </si>
  <si>
    <t>[MJ/kg TS]</t>
  </si>
  <si>
    <t>[kg/m³]</t>
  </si>
  <si>
    <t>Holzübernahme Richtlinien (Papierholz Austria, Revision 6) Schwarzkiefer 545 kg/FOO (Festmeter, ohne Rinde geliefert, ohne Rinde verrechnet)</t>
  </si>
  <si>
    <t>In der Praxis hat sich der Darrdichtewert mit 430 kg/m³ aus Kollmann bzw. Wagenführ etabliert. (ÖNORM 410 kg/m³, Holzhandelsusancen bzw. Holzübernahme Richtlinie Fichte/Tanne 427 kg-atro je fm o.R.)</t>
  </si>
  <si>
    <t>Holzhandelsusancen bzw. Holzübernahme Richtlinie Lärche 545 kg-atro je fm o.R.</t>
  </si>
  <si>
    <t>Holzübernahme Richtlinien (Papierholz Austria, Revision 6) Birke 503 kg/FOO (Festmeter, ohne Rinde geliefert, ohne Rinde verrechnet)</t>
  </si>
  <si>
    <t>Holzübernahme Richtlinien (Papierholz Austria, Revision 6) Buche 598 kg/FOO (Festmeter, ohne Rinde geliefert, ohne Rinde verrechnet)</t>
  </si>
  <si>
    <t>Holzübernahme Richtlinien (Papierholz Austria, Revision 6) Aspe 407 kg/FOO (Festmeter, ohne Rinde geliefert, ohne Rinde verrechnet)</t>
  </si>
  <si>
    <t>In der Norm wird die Schwarzpappel verkürzt als "Pappel" definiert. In der Holzübernahme Richtlinie (Papierholz Austria, Revision 6) wird Pappel mit 323 kg/FOO umgerechnet</t>
  </si>
  <si>
    <t xml:space="preserve">Darrdichte und Schwindmaß wurden durch Gewichtung entsprechend der Nutzung der Baumarten gemäß österr. Waldinventur ermittelt; ebenso wurden der H-Gehalt und der Brennwert ermittelt. </t>
  </si>
  <si>
    <t>In Österreich werden in der Regel Briketts aus Fichtenspänen angeboten, im Ausnahmefall könnten auch Briketts aus anderen Holzarten angeboten werden.</t>
  </si>
  <si>
    <t>In Österreich werden in der Regel Pellets aus Fichtenspänen angeboten, im Ausnahmefall könnten auch Pellets aus anderen Holzarten angeboten werden.</t>
  </si>
  <si>
    <t>Feste Holzmasse</t>
  </si>
  <si>
    <t>Stückholz (geschlichtet)</t>
  </si>
  <si>
    <t>Stückholz (geschüttet)</t>
  </si>
  <si>
    <t>Hobelspäne</t>
  </si>
  <si>
    <t>Rinde (geschüttet)</t>
  </si>
  <si>
    <t>Erdgas</t>
  </si>
  <si>
    <t>t TS /a (t-atro)</t>
  </si>
  <si>
    <t>t FS /a (t-lutro)</t>
  </si>
  <si>
    <t>Euro/t TS (t-atro)</t>
  </si>
  <si>
    <t>Euro/t FS (t-lutro)</t>
  </si>
  <si>
    <t>t-lutro</t>
  </si>
  <si>
    <t xml:space="preserve">Rinde wurde vereinfachend wie Holz bewertet, Darrdichte und Schwindmaß wurden durch Gewichtung entsprechend der Nutzung der Baumarten gemäß österr. Waldinventur ermittelt. </t>
  </si>
  <si>
    <t>Holzhackgut P16</t>
  </si>
  <si>
    <t>Holzhackgut P31</t>
  </si>
  <si>
    <t>1 fm = x rm bzw.  x srm</t>
  </si>
  <si>
    <t xml:space="preserve">Waldhackgut C1 </t>
  </si>
  <si>
    <t>Waldhackgut C2</t>
  </si>
  <si>
    <t>Waldhackgut C3</t>
  </si>
  <si>
    <t>Waldhackgut C4</t>
  </si>
  <si>
    <t xml:space="preserve">Umrechnungsfaktoren gemäß ÖNORM M 7132, Papierholz Austria und den klimaaktiv Umrechnungsfaktoren für Energieholzsortimente </t>
  </si>
  <si>
    <t>Aschengehalt gemäß Erfahrungswerten, Obernberger 1997, ÖNORM C 4005</t>
  </si>
  <si>
    <t>Holzhackgut P45</t>
  </si>
  <si>
    <t>Scheitholz (1 m) gespalten</t>
  </si>
  <si>
    <t>6) ÖNORM M 7132:2016-01</t>
  </si>
  <si>
    <t>6)</t>
  </si>
  <si>
    <t>Heizöl Extra Leicht</t>
  </si>
  <si>
    <t>Liefermenge</t>
  </si>
  <si>
    <t>Lieferpauschale</t>
  </si>
  <si>
    <t>Euro pro Lieferung</t>
  </si>
  <si>
    <t>t FS pro Lieferung</t>
  </si>
  <si>
    <t>Anlieferungskosten</t>
  </si>
  <si>
    <t>Liter</t>
  </si>
  <si>
    <t>Fossile Energie</t>
  </si>
  <si>
    <t>Gesamte Brennstoffkosten pro Jahr</t>
  </si>
  <si>
    <t>Anzahl Lieferungen pro Jahr</t>
  </si>
  <si>
    <t>Anz</t>
  </si>
  <si>
    <t>kg/m³ (TS-Anteil an Frischsubstanz (FS))</t>
  </si>
  <si>
    <t>Anlieferungskosten pro Jahr</t>
  </si>
  <si>
    <t>Spitzenlast-Brennstoff</t>
  </si>
  <si>
    <t>Liter  FS pro Lieferung</t>
  </si>
  <si>
    <t>Wärmebedarf ab Kesselflansch</t>
  </si>
  <si>
    <t>Anteil an der Wärmeproduktion</t>
  </si>
  <si>
    <t>Kessel-Jahresnutzungsgrad</t>
  </si>
  <si>
    <t>Brennstoffdaten</t>
  </si>
  <si>
    <t>Gewichteter Brennstoffpreis / (Einzelpreise)</t>
  </si>
  <si>
    <t>Wählen Sie hier eine Einheit aus</t>
  </si>
  <si>
    <t>Umrechnungen</t>
  </si>
  <si>
    <t>Geben Sie hier einen Wert für den Brennstoffpreis ein</t>
  </si>
  <si>
    <t>Hier sehen Sie die Umrechnung in weitere Einheiten.</t>
  </si>
  <si>
    <t>Vergleich 
Haushalt oder anderer Verbraucher</t>
  </si>
  <si>
    <r>
      <t>Zur Verfügung gestellt von klima</t>
    </r>
    <r>
      <rPr>
        <b/>
        <sz val="11"/>
        <color theme="1"/>
        <rFont val="Calibri"/>
        <family val="2"/>
        <scheme val="minor"/>
      </rPr>
      <t>aktiv</t>
    </r>
    <r>
      <rPr>
        <sz val="11"/>
        <color theme="1"/>
        <rFont val="Calibri"/>
        <family val="2"/>
        <scheme val="minor"/>
      </rPr>
      <t>, der Klimaschutzinitative des Bundesministeriums für Klimaschutz, Umwelt, Energie, Mobilität, Innovation und Technologie.</t>
    </r>
  </si>
  <si>
    <t>Kurzbeschreibung des Tools</t>
  </si>
  <si>
    <t>Zielgruppe</t>
  </si>
  <si>
    <t>Planner:innen und Entwickler:innen, interessierte Öffentlichkeit</t>
  </si>
  <si>
    <t>Glossar</t>
  </si>
  <si>
    <t>Rückfragen</t>
  </si>
  <si>
    <t>Lorenz Strimitzer</t>
  </si>
  <si>
    <t>Österreichiche Energieagentur</t>
  </si>
  <si>
    <t>Mariahilfer Straße 136 | 1150 Wien | Österreich</t>
  </si>
  <si>
    <t xml:space="preserve">T. +43 (0)1 586 15 24-135 </t>
  </si>
  <si>
    <t>lorenz.strimitzer@energyagency.at</t>
  </si>
  <si>
    <t>Energieholz Kenndatenkalkulation</t>
  </si>
  <si>
    <t>V2.2</t>
  </si>
  <si>
    <r>
      <t xml:space="preserve">Das einfach zu bedienende Berechnungs-Tool ermöglicht rasche Umrechnung zwischen üblichen volumenbezogenen bzw. gewichtsbezogenen Preisen. Durch die Eingabe weniger Faktoren können für unterschiedliche Energieholzsortimente rasch die wesentlichen Kenndaten ermittelt und die Sortimente miteinander verglichen werden.
</t>
    </r>
    <r>
      <rPr>
        <b/>
        <sz val="11"/>
        <rFont val="Calibri"/>
        <family val="2"/>
        <scheme val="minor"/>
      </rPr>
      <t>Die Energieholz Kenndatenkalkulation bietet Ihnen die Möglichkeit</t>
    </r>
    <r>
      <rPr>
        <sz val="11"/>
        <rFont val="Calibri"/>
        <family val="2"/>
        <scheme val="minor"/>
      </rPr>
      <t xml:space="preserve">
    - Einheiten umzurechen: von Volumen zu Gewicht zu Energiegehalt
    - Preisvergleiche durchzuführen
    - Unterschiedliche Holzsortimente zu vergleichen
    - Holzsortimente mit unterschiedlichem Wassergehalt zu vergleichen
    - den Holzbedarf und die Brennstoffkosten für einen Kessel / ein Heizwerk zu errechnen und dabei                                                     
       Brennstoffe in beliebigem Verhältnis zu wählen
    - Holzsortimente mit fossilen Energieträgern zu vergleichen und eigene Kennwerte einzugeben
    - aus dem Datenblatt wichtige Kennwerte verschiedenster Baumarten und Holzsortimente zu entnehmen</t>
    </r>
  </si>
  <si>
    <t>Abk. für engl. capital expenditures. Mit den CAPEX werden Investitionsausgaben in die (Heizungs-)Anlagentechnik bezeichnet.</t>
  </si>
  <si>
    <t>CAPEX</t>
  </si>
  <si>
    <t>FS</t>
  </si>
  <si>
    <t>Frischsubstanz</t>
  </si>
  <si>
    <t>FS (t-lutro)</t>
  </si>
  <si>
    <t>Frischsubstanz lufttrocken, variabler Wassergehalt</t>
  </si>
  <si>
    <t>OPEX</t>
  </si>
  <si>
    <t>TS</t>
  </si>
  <si>
    <t>TS (t-atro)</t>
  </si>
  <si>
    <t>Trockensubstanz</t>
  </si>
  <si>
    <t>Trockensubstanz absolut trocken, Wassergehalt 0 %</t>
  </si>
  <si>
    <t>Abk. für engl. operational expenditures. Mit den OPEX werden laufende (jährliche) Ausgaben des Anlagenbetriebs bezeichnet. Neben den Brennstoffkosten beinhalten die OPEX auch Personal-, Wartungs- und Instandhaltungs- und weitere sonstige jährliche Ausgaben.</t>
  </si>
  <si>
    <r>
      <t xml:space="preserve">Kennwerte der Biomasse-Heizungsanlage </t>
    </r>
    <r>
      <rPr>
        <sz val="11"/>
        <rFont val="Calibri"/>
        <family val="2"/>
        <scheme val="minor"/>
      </rPr>
      <t>(Brennstoffmix in grün markierte Spalten definieren)</t>
    </r>
  </si>
  <si>
    <r>
      <t>Wassergehalt (H</t>
    </r>
    <r>
      <rPr>
        <vertAlign val="subscript"/>
        <sz val="11"/>
        <rFont val="Calibri"/>
        <family val="2"/>
        <scheme val="minor"/>
      </rPr>
      <t>2</t>
    </r>
    <r>
      <rPr>
        <sz val="11"/>
        <rFont val="Calibri"/>
        <family val="2"/>
        <scheme val="minor"/>
      </rPr>
      <t>O)</t>
    </r>
  </si>
  <si>
    <r>
      <t>kg/m³ (bei 0 % H</t>
    </r>
    <r>
      <rPr>
        <i/>
        <vertAlign val="subscript"/>
        <sz val="11"/>
        <rFont val="Calibri"/>
        <family val="2"/>
        <scheme val="minor"/>
      </rPr>
      <t>2</t>
    </r>
    <r>
      <rPr>
        <i/>
        <sz val="11"/>
        <rFont val="Calibri"/>
        <family val="2"/>
        <scheme val="minor"/>
      </rPr>
      <t>O)</t>
    </r>
  </si>
  <si>
    <r>
      <t>kg/m³ (bei x % H</t>
    </r>
    <r>
      <rPr>
        <b/>
        <i/>
        <vertAlign val="subscript"/>
        <sz val="11"/>
        <rFont val="Calibri"/>
        <family val="2"/>
        <scheme val="minor"/>
      </rPr>
      <t>2</t>
    </r>
    <r>
      <rPr>
        <b/>
        <i/>
        <sz val="11"/>
        <rFont val="Calibri"/>
        <family val="2"/>
        <scheme val="minor"/>
      </rPr>
      <t>O)</t>
    </r>
  </si>
  <si>
    <r>
      <t>kg/m³ (H</t>
    </r>
    <r>
      <rPr>
        <i/>
        <vertAlign val="subscript"/>
        <sz val="11"/>
        <rFont val="Calibri"/>
        <family val="2"/>
        <scheme val="minor"/>
      </rPr>
      <t>2</t>
    </r>
    <r>
      <rPr>
        <i/>
        <sz val="11"/>
        <rFont val="Calibri"/>
        <family val="2"/>
        <scheme val="minor"/>
      </rPr>
      <t>O-Anteil an Frischsubstanz)</t>
    </r>
  </si>
  <si>
    <t>Berechnungsgrundlage</t>
  </si>
  <si>
    <t>Versionierung</t>
  </si>
  <si>
    <r>
      <t xml:space="preserve">
Die Berechnungsgrundlage wurde in Anlehnung an die ÖNORM M 7132, ÖNORM M 7133, ÖNORM M 7135, ÖNORM B 3012, Übersichtstabellen der LWK OÖ (G. Danninger) und LWK NÖ (A. Jonas) sowie üblicher Erfahrungswerte erstellt. 
Bei der Anwendung sind folgende </t>
    </r>
    <r>
      <rPr>
        <b/>
        <sz val="11"/>
        <rFont val="Calibri"/>
        <family val="2"/>
        <scheme val="minor"/>
      </rPr>
      <t>Annahmen</t>
    </r>
    <r>
      <rPr>
        <sz val="11"/>
        <rFont val="Calibri"/>
        <family val="2"/>
        <scheme val="minor"/>
      </rPr>
      <t xml:space="preserve"> zu berücksichtigen:
 - Die ersten 5 Spalten des Kalkulationsblattes (Spalten: Holzarten, Rinde, Presslinge) verwenden die durchschnittlichen Werte aus dem Datenblatt für die Berechnungen.
- In der letzten Spalte des Kalkulationsblattes (Spalte Sonstige) können eigene Datenquellen bzw. Erfahrungswerte verwendet werden.
 - Laut ÖNORM M 7132 kann der untere Heizwert für Laubholz mit 18 MJ/kg TS und für Nadelholz mit 19 MJ/kg TS angenommen werden.
 - Die Darrdichte von wasserfreiem Holz liegt zwischen ca. 400 - 750 kg/m³ TS (Trockensubstanz) und ist von der Holzart, den Wuchsbedingungen (z. B. nährstoffreicher 
   Tieflagenstandort oder nährstoffarmer Hochlagenstandort) sowie sonstigen Qualitätsmerkmalen (Astigkeit, Reaktionsholz, Fäulnis, etc.) abhängig. Auch innerhalb einer Holzart 
   kann die Darrdichte bei einzelnen Holzlieferungen stark variieren! Die Darrdichte von Briketts stellt nur eine grobe Abschätzung dar und kann je nach Brikettform und Schlichtung 
   mehr oder weniger vom angenommenen Schätzwert abweichen.
 - In Abhängigkeit von Holzart und Größenklasse beträgt das Schüttgewicht von Waldhackgut ca. 150 bis 230 kg/m³ TS (Trockensubstanz).
 - Zur Umrechnung auf die Rohdichte bei einem bestimmten Wassergehalt werden mittlere holzartenspezifische Schwindmaße berücksichtigt (je nach Holzart zwischen 8 - 20 %, 
   siehe Tabellenblatt "Datenblatt").
 - Das Schüttgewicht von Pellets beträgt ca. 600 kg/m³ TS (Trockensubstanz)  bzw. ca. 650 kg/m³ FS (Frischsubstanz). Die Lagerungsdichte für Pellets mit 650 kg/srm entspricht damit 
   der in Österreich üblichen Handelsware aus Fichtenspänen mit 6 mm Durchmesser
 - Die angegebene Lagerungsdichte für Briketts mit ca. 760 kg/rm (auf Paletten mit 10 kg folierter Packungen geschlichtet) stellt nur eine grobe Abschätzung dar und kann ja nach 
   Brikettform und Verpackungsart erheblich abweichen.
 - Die Abschätzung des Aschengewichtes bzw. Aschenvolumens stellt nur eine Richtgröße für die anfallende Aschenmenge dar und kann je nach Brennstoffqualität, 
   Verschmutzungsgrad, Feuerungstechnik sowie Aschenmanipulation stark variieren. 
 - Es wird empfohlen, Verträge über Energieholzlieferungen möglichst auf der Basis der gelieferten Energiemenge in Euro pro MWh oder auf der Basis des Gewichtes der gelieferten 
   Trockensubstanz in Euro pro t-atro abzuschliessen.
 - Die Umrechnung der Brennstoffkosten pro MWh auf volumsbezogene Preise soll zur Verbesserung der Preistransparenz bzw. für Kostenkalkulationen dienen.
</t>
    </r>
  </si>
  <si>
    <r>
      <rPr>
        <b/>
        <sz val="11"/>
        <rFont val="Calibri"/>
        <family val="2"/>
        <scheme val="minor"/>
      </rPr>
      <t>Update Version 1.9</t>
    </r>
    <r>
      <rPr>
        <sz val="11"/>
        <rFont val="Calibri"/>
        <family val="2"/>
        <scheme val="minor"/>
      </rPr>
      <t xml:space="preserve">
 - Berücksichtigung von Anlieferungskosten
 - Neue Benennung und Erweiterung der vorletzten Spalte "Spitzenlast-Brennstoff", zusätzlich zu (bisher nur) Erdgas ist nun auch Heizöl Extra Leicht wählbar. Bei dieser Erweiterung 
   erfolgte auch in Update der chemischen und brenntechnischen Kennwerte von Erdgas und eine Neuanlage jener von Heizöl Extra Leicht.
      Für Heizöl Extra Light (HEL) wurde 
        ein Brennwert von 11,928 kWh/kg gemäß Österreichischer Energiebilanz 2015 (Stand Okt. 2017) für das Jahr 2015 angesetzt: 
        eine Dichte von 837 kg/m³ gemäß Österreichischer Kraftstoffverordnung 2012, Fassung vom 29.01.2015, für Dieselkraftstoff (entspricht HEL) angesetzt
        ein Wasserstoffanteil von 14 Gewichtsprozent angesetzt (Quelle: Basiswissen Verbrennungsmotor: Fragen - rechnen - verstehen - bestehen, Ausgabe 2. Klaus Schreiner. 
        Springer-Verlag. 27 November 2014. S 273)
        der Wasser- und Aschegehalt stammt aus die Lieferspezifikation der OMV für HEL (gemäß ÖNORM C 1109 (Ausgabe 03/2014)), Stand Dez. 2017
      Für Erdgas (H) wurde 
        ein Brennwert von 11,3 kWh/Normkubikmeter angesetzt. Gemäß Veröffentlichung der Energie Control Austria gilt ab 1. Jänner 2017 im Marktgebieten Ost (MG-Ost) ein
       Verrechnungsbrennwert von 11,30 kWh/Nm³.
        eine Dichte von 754 kg/m³ gemäß Website der Wiener Netze | Kenndaten für Erdgas | Kenndaten | Rund um Erdgas (entnommen am 18.12.2017) angesetzt
        ein Wasserstoffanteil von 25 Gewichtsprozent angesetzt (Quelle: Basiswissen Verbrennungsmotor: Fragen - rechnen - verstehen - bestehen, Ausgabe 2. Klaus Schreiner. 
        Springer-Verlag. 27 November 2014. S 273)
 - Umstrukturierung der Erfassung der Anlagendaten (bisher Eingabe von Brennstoffwärmebedarf, nun Eingabe von Nutzwärmebedarf (ab Kesselflansch) und 
    Kesseljahresnutzungsgraden für Biomasse- und Spitzenlastkessel.
 - Einführung einer neuen Spalte (ganz rechts am Blatt) zum Vergleich der Brennstoffpreise einer Biomasse-Heizanlage (bisher bestehendes Datenblatt) mit dem Brennstoffpreis 
    eines Haushalts oder anderen Verbrauchers, dessen jährlicher Brennstoffbedarf und Einkaufspreise, etc. gesondert erfasst werden können.
</t>
    </r>
    <r>
      <rPr>
        <b/>
        <sz val="11"/>
        <rFont val="Calibri"/>
        <family val="2"/>
        <scheme val="minor"/>
      </rPr>
      <t xml:space="preserve">
Update Version 2.0</t>
    </r>
    <r>
      <rPr>
        <sz val="11"/>
        <rFont val="Calibri"/>
        <family val="2"/>
        <scheme val="minor"/>
      </rPr>
      <t xml:space="preserve">
 - Ersetzung der Umrechnungsmakros durch Zellenformeln und dementsprechende Anpassung der Eingabefelder für Brennstoffpreise und Einheiten (Zeile 38-45, Tabellenblatt 
   "Kalkulation")
</t>
    </r>
    <r>
      <rPr>
        <b/>
        <sz val="11"/>
        <rFont val="Calibri"/>
        <family val="2"/>
        <scheme val="minor"/>
      </rPr>
      <t xml:space="preserve">
Update Version 2.1</t>
    </r>
    <r>
      <rPr>
        <sz val="11"/>
        <rFont val="Calibri"/>
        <family val="2"/>
        <scheme val="minor"/>
      </rPr>
      <t xml:space="preserve">
 - Visuelle Aufbereitung, Überführung in das klimaaktiv Coorporate Design und Überprüfung der Datengrundlage auf Aktualität
 - Anpassung der Eingabemaske durch Schutz von Zellen außer den Eingabefeldern
</t>
    </r>
    <r>
      <rPr>
        <b/>
        <sz val="11"/>
        <rFont val="Calibri"/>
        <family val="2"/>
        <scheme val="minor"/>
      </rPr>
      <t>Update Version 2.2</t>
    </r>
    <r>
      <rPr>
        <sz val="11"/>
        <rFont val="Calibri"/>
        <family val="2"/>
        <scheme val="minor"/>
      </rPr>
      <t xml:space="preserve">
- Visuelle Aufbereitung, Überführung in das klimaaktiv Coorporate Design und Überprüfung der Datengrundlage auf Aktualität</t>
    </r>
  </si>
  <si>
    <t>Allgemeine Anmerkungen zum Berechnungsblatt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</si>
</sst>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3" formatCode="_-* #,##0.00_-;\-* #,##0.00_-;_-* &quot;-&quot;??_-;_-@_-"/>
    <numFmt numFmtId="164" formatCode="0.0"/>
    <numFmt numFmtId="165" formatCode="0.000"/>
    <numFmt numFmtId="166" formatCode="#,##0.0"/>
    <numFmt numFmtId="167" formatCode="0.0000"/>
    <numFmt numFmtId="168" formatCode="0&quot; &quot;"/>
    <numFmt numFmtId="169" formatCode="0.0&quot; &quot;"/>
    <numFmt numFmtId="170" formatCode="_-[$€-2]\ * #,##0.00_-;\-[$€-2]\ * #,##0.00_-;_-[$€-2]\ * &quot;-&quot;??_-"/>
    <numFmt numFmtId="171" formatCode="#,##0.0&quot; &quot;"/>
    <numFmt numFmtId="172" formatCode="#,##0.000"/>
    <numFmt numFmtId="173" formatCode="0.0%"/>
    <numFmt numFmtId="174" formatCode="\(0.00\)"/>
    <numFmt numFmtId="175" formatCode="\(0%\)"/>
    <numFmt numFmtId="176" formatCode=";;;"/>
  </numFmts>
  <fonts count="42" x14ac:knownFonts="1">
    <font>
      <sz val="10"/>
      <name val="Arial"/>
    </font>
    <font>
      <sz val="10"/>
      <name val="Arial"/>
      <family val="2"/>
    </font>
    <font>
      <u/>
      <sz val="10"/>
      <color indexed="12"/>
      <name val="Arial"/>
      <family val="2"/>
    </font>
    <font>
      <sz val="8"/>
      <name val="Arial"/>
      <family val="2"/>
    </font>
    <font>
      <sz val="8"/>
      <name val="Arial"/>
      <family val="2"/>
    </font>
    <font>
      <sz val="8"/>
      <color indexed="81"/>
      <name val="Tahoma"/>
      <family val="2"/>
    </font>
    <font>
      <b/>
      <sz val="8"/>
      <color indexed="81"/>
      <name val="Tahoma"/>
      <family val="2"/>
    </font>
    <font>
      <sz val="8"/>
      <color indexed="81"/>
      <name val="Arial"/>
      <family val="2"/>
    </font>
    <font>
      <b/>
      <vertAlign val="subscript"/>
      <sz val="8"/>
      <color indexed="81"/>
      <name val="Tahoma"/>
      <family val="2"/>
    </font>
    <font>
      <vertAlign val="subscript"/>
      <sz val="8"/>
      <color indexed="81"/>
      <name val="Tahoma"/>
      <family val="2"/>
    </font>
    <font>
      <sz val="9"/>
      <color indexed="81"/>
      <name val="Tahoma"/>
      <family val="2"/>
    </font>
    <font>
      <b/>
      <sz val="9"/>
      <color indexed="81"/>
      <name val="Tahoma"/>
      <family val="2"/>
    </font>
    <font>
      <sz val="10"/>
      <name val="Arial"/>
      <family val="2"/>
    </font>
    <font>
      <b/>
      <sz val="11"/>
      <color theme="1"/>
      <name val="Calibri"/>
      <family val="2"/>
      <scheme val="minor"/>
    </font>
    <font>
      <sz val="11"/>
      <color rgb="FFFF0000"/>
      <name val="Calibri"/>
      <family val="2"/>
      <scheme val="minor"/>
    </font>
    <font>
      <sz val="11"/>
      <color theme="1"/>
      <name val="Calibri"/>
      <family val="2"/>
      <scheme val="minor"/>
    </font>
    <font>
      <b/>
      <sz val="16"/>
      <name val="Calibri"/>
      <family val="2"/>
      <scheme val="minor"/>
    </font>
    <font>
      <sz val="11"/>
      <color rgb="FFCA0237"/>
      <name val="Calibri"/>
      <family val="2"/>
      <scheme val="minor"/>
    </font>
    <font>
      <b/>
      <sz val="16"/>
      <color theme="1"/>
      <name val="Calibri"/>
      <family val="2"/>
      <scheme val="minor"/>
    </font>
    <font>
      <sz val="11"/>
      <color rgb="FF135F8E"/>
      <name val="Calibri"/>
      <family val="2"/>
      <scheme val="minor"/>
    </font>
    <font>
      <b/>
      <sz val="11"/>
      <name val="Calibri"/>
      <family val="2"/>
      <scheme val="minor"/>
    </font>
    <font>
      <sz val="11"/>
      <name val="Calibri"/>
      <family val="2"/>
      <scheme val="minor"/>
    </font>
    <font>
      <vertAlign val="subscript"/>
      <sz val="11"/>
      <name val="Calibri"/>
      <family val="2"/>
      <scheme val="minor"/>
    </font>
    <font>
      <sz val="11"/>
      <color rgb="FF000000"/>
      <name val="Calibri"/>
      <family val="2"/>
      <scheme val="minor"/>
    </font>
    <font>
      <b/>
      <sz val="12"/>
      <name val="Calibri"/>
      <family val="2"/>
      <scheme val="minor"/>
    </font>
    <font>
      <sz val="11"/>
      <color theme="0"/>
      <name val="Calibri"/>
      <family val="2"/>
      <scheme val="minor"/>
    </font>
    <font>
      <sz val="11"/>
      <color indexed="10"/>
      <name val="Calibri"/>
      <family val="2"/>
      <scheme val="minor"/>
    </font>
    <font>
      <i/>
      <sz val="11"/>
      <name val="Calibri"/>
      <family val="2"/>
      <scheme val="minor"/>
    </font>
    <font>
      <i/>
      <sz val="11"/>
      <color theme="0"/>
      <name val="Calibri"/>
      <family val="2"/>
      <scheme val="minor"/>
    </font>
    <font>
      <b/>
      <sz val="11"/>
      <color indexed="10"/>
      <name val="Calibri"/>
      <family val="2"/>
      <scheme val="minor"/>
    </font>
    <font>
      <b/>
      <i/>
      <sz val="11"/>
      <name val="Calibri"/>
      <family val="2"/>
      <scheme val="minor"/>
    </font>
    <font>
      <i/>
      <sz val="11"/>
      <color indexed="10"/>
      <name val="Calibri"/>
      <family val="2"/>
      <scheme val="minor"/>
    </font>
    <font>
      <b/>
      <sz val="11"/>
      <color theme="0"/>
      <name val="Calibri"/>
      <family val="2"/>
      <scheme val="minor"/>
    </font>
    <font>
      <b/>
      <sz val="11"/>
      <color indexed="17"/>
      <name val="Calibri"/>
      <family val="2"/>
      <scheme val="minor"/>
    </font>
    <font>
      <b/>
      <i/>
      <sz val="11"/>
      <color indexed="17"/>
      <name val="Calibri"/>
      <family val="2"/>
      <scheme val="minor"/>
    </font>
    <font>
      <b/>
      <sz val="11"/>
      <color indexed="9"/>
      <name val="Calibri"/>
      <family val="2"/>
      <scheme val="minor"/>
    </font>
    <font>
      <i/>
      <vertAlign val="subscript"/>
      <sz val="11"/>
      <name val="Calibri"/>
      <family val="2"/>
      <scheme val="minor"/>
    </font>
    <font>
      <sz val="11"/>
      <color indexed="22"/>
      <name val="Calibri"/>
      <family val="2"/>
      <scheme val="minor"/>
    </font>
    <font>
      <b/>
      <i/>
      <vertAlign val="subscript"/>
      <sz val="11"/>
      <name val="Calibri"/>
      <family val="2"/>
      <scheme val="minor"/>
    </font>
    <font>
      <sz val="11"/>
      <color indexed="8"/>
      <name val="Calibri"/>
      <family val="2"/>
      <scheme val="minor"/>
    </font>
    <font>
      <b/>
      <sz val="11"/>
      <color indexed="12"/>
      <name val="Calibri"/>
      <family val="2"/>
      <scheme val="minor"/>
    </font>
    <font>
      <sz val="16"/>
      <name val="Calibri"/>
      <family val="2"/>
      <scheme val="minor"/>
    </font>
  </fonts>
  <fills count="10">
    <fill>
      <patternFill patternType="none"/>
    </fill>
    <fill>
      <patternFill patternType="gray125"/>
    </fill>
    <fill>
      <patternFill patternType="solid">
        <fgColor indexed="50"/>
        <bgColor indexed="64"/>
      </patternFill>
    </fill>
    <fill>
      <patternFill patternType="solid">
        <fgColor indexed="47"/>
        <bgColor indexed="64"/>
      </patternFill>
    </fill>
    <fill>
      <patternFill patternType="solid">
        <fgColor indexed="42"/>
        <bgColor indexed="64"/>
      </patternFill>
    </fill>
    <fill>
      <patternFill patternType="solid">
        <fgColor theme="0"/>
        <bgColor indexed="64"/>
      </patternFill>
    </fill>
    <fill>
      <patternFill patternType="solid">
        <fgColor rgb="FFE9E4DF"/>
        <bgColor indexed="64"/>
      </patternFill>
    </fill>
    <fill>
      <patternFill patternType="solid">
        <fgColor rgb="FFD9E3E8"/>
        <bgColor indexed="64"/>
      </patternFill>
    </fill>
    <fill>
      <patternFill patternType="solid">
        <fgColor rgb="FFEFF4F7"/>
        <bgColor indexed="64"/>
      </patternFill>
    </fill>
    <fill>
      <patternFill patternType="solid">
        <fgColor rgb="FFF6F4F0"/>
        <bgColor indexed="64"/>
      </patternFill>
    </fill>
  </fills>
  <borders count="41">
    <border>
      <left/>
      <right/>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right/>
      <top style="medium">
        <color indexed="64"/>
      </top>
      <bottom style="medium">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medium">
        <color indexed="64"/>
      </right>
      <top style="hair">
        <color indexed="64"/>
      </top>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top style="thin">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hair">
        <color indexed="64"/>
      </bottom>
      <diagonal/>
    </border>
    <border>
      <left style="medium">
        <color indexed="64"/>
      </left>
      <right style="medium">
        <color indexed="64"/>
      </right>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theme="0"/>
      </bottom>
      <diagonal/>
    </border>
    <border>
      <left/>
      <right/>
      <top style="thin">
        <color theme="0"/>
      </top>
      <bottom style="thin">
        <color theme="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s>
  <cellStyleXfs count="5">
    <xf numFmtId="0" fontId="0" fillId="0" borderId="0"/>
    <xf numFmtId="170" fontId="1" fillId="0" borderId="0" applyFont="0" applyFill="0" applyBorder="0" applyAlignment="0" applyProtection="0"/>
    <xf numFmtId="0" fontId="2" fillId="0" borderId="0" applyNumberFormat="0" applyFill="0" applyBorder="0" applyAlignment="0" applyProtection="0">
      <alignment vertical="top"/>
      <protection locked="0"/>
    </xf>
    <xf numFmtId="9" fontId="1" fillId="0" borderId="0" applyFont="0" applyFill="0" applyBorder="0" applyAlignment="0" applyProtection="0"/>
    <xf numFmtId="43" fontId="12" fillId="0" borderId="0" applyFont="0" applyFill="0" applyBorder="0" applyAlignment="0" applyProtection="0"/>
  </cellStyleXfs>
  <cellXfs count="522">
    <xf numFmtId="0" fontId="0" fillId="0" borderId="0" xfId="0"/>
    <xf numFmtId="0" fontId="4" fillId="5" borderId="0" xfId="0" applyFont="1" applyFill="1" applyBorder="1" applyProtection="1"/>
    <xf numFmtId="0" fontId="3" fillId="5" borderId="0" xfId="0" applyFont="1" applyFill="1" applyBorder="1" applyProtection="1"/>
    <xf numFmtId="0" fontId="15" fillId="5" borderId="0" xfId="0" applyFont="1" applyFill="1" applyAlignment="1">
      <alignment vertical="top"/>
    </xf>
    <xf numFmtId="0" fontId="14" fillId="5" borderId="0" xfId="0" applyFont="1" applyFill="1" applyAlignment="1">
      <alignment vertical="top"/>
    </xf>
    <xf numFmtId="0" fontId="15" fillId="0" borderId="0" xfId="0" applyFont="1" applyAlignment="1">
      <alignment vertical="top"/>
    </xf>
    <xf numFmtId="0" fontId="17" fillId="5" borderId="0" xfId="0" applyFont="1" applyFill="1" applyAlignment="1">
      <alignment vertical="top"/>
    </xf>
    <xf numFmtId="0" fontId="18" fillId="5" borderId="0" xfId="0" applyFont="1" applyFill="1" applyAlignment="1">
      <alignment vertical="top" wrapText="1"/>
    </xf>
    <xf numFmtId="0" fontId="17" fillId="5" borderId="0" xfId="0" applyFont="1" applyFill="1" applyAlignment="1">
      <alignment vertical="top" wrapText="1"/>
    </xf>
    <xf numFmtId="0" fontId="17" fillId="0" borderId="0" xfId="0" applyFont="1" applyAlignment="1">
      <alignment vertical="top"/>
    </xf>
    <xf numFmtId="0" fontId="15" fillId="5" borderId="0" xfId="0" applyFont="1" applyFill="1" applyAlignment="1">
      <alignment vertical="top" wrapText="1"/>
    </xf>
    <xf numFmtId="0" fontId="19" fillId="5" borderId="0" xfId="0" applyFont="1" applyFill="1" applyAlignment="1">
      <alignment vertical="top"/>
    </xf>
    <xf numFmtId="0" fontId="14" fillId="0" borderId="0" xfId="0" applyFont="1"/>
    <xf numFmtId="0" fontId="13" fillId="5" borderId="0" xfId="0" applyFont="1" applyFill="1" applyAlignment="1">
      <alignment vertical="top"/>
    </xf>
    <xf numFmtId="0" fontId="15" fillId="5" borderId="22" xfId="0" applyFont="1" applyFill="1" applyBorder="1" applyAlignment="1">
      <alignment vertical="center"/>
    </xf>
    <xf numFmtId="0" fontId="15" fillId="0" borderId="22" xfId="0" applyFont="1" applyBorder="1" applyAlignment="1">
      <alignment vertical="center"/>
    </xf>
    <xf numFmtId="0" fontId="15" fillId="5" borderId="22" xfId="0" applyFont="1" applyFill="1" applyBorder="1" applyAlignment="1">
      <alignment vertical="top"/>
    </xf>
    <xf numFmtId="0" fontId="15" fillId="5" borderId="0" xfId="0" applyFont="1" applyFill="1" applyBorder="1" applyAlignment="1">
      <alignment vertical="top"/>
    </xf>
    <xf numFmtId="0" fontId="23" fillId="0" borderId="32" xfId="0" applyFont="1" applyBorder="1"/>
    <xf numFmtId="0" fontId="23" fillId="0" borderId="33" xfId="0" applyFont="1" applyBorder="1"/>
    <xf numFmtId="0" fontId="23" fillId="0" borderId="0" xfId="0" applyFont="1" applyBorder="1"/>
    <xf numFmtId="0" fontId="21" fillId="0" borderId="0" xfId="0" applyFont="1" applyProtection="1"/>
    <xf numFmtId="0" fontId="21" fillId="0" borderId="0" xfId="0" applyFont="1" applyBorder="1" applyProtection="1"/>
    <xf numFmtId="0" fontId="25" fillId="0" borderId="0" xfId="0" applyFont="1" applyProtection="1"/>
    <xf numFmtId="0" fontId="21" fillId="5" borderId="0" xfId="0" applyFont="1" applyFill="1" applyProtection="1"/>
    <xf numFmtId="0" fontId="21" fillId="0" borderId="0" xfId="0" applyFont="1" applyAlignment="1" applyProtection="1">
      <alignment horizontal="left"/>
    </xf>
    <xf numFmtId="0" fontId="26" fillId="0" borderId="0" xfId="0" applyFont="1" applyProtection="1"/>
    <xf numFmtId="0" fontId="25" fillId="0" borderId="0" xfId="0" applyFont="1" applyBorder="1" applyProtection="1"/>
    <xf numFmtId="0" fontId="21" fillId="5" borderId="0" xfId="0" applyFont="1" applyFill="1" applyBorder="1" applyProtection="1"/>
    <xf numFmtId="0" fontId="21" fillId="0" borderId="0" xfId="0" applyFont="1" applyBorder="1" applyAlignment="1" applyProtection="1">
      <alignment horizontal="left"/>
    </xf>
    <xf numFmtId="0" fontId="26" fillId="0" borderId="0" xfId="0" applyFont="1" applyBorder="1" applyProtection="1"/>
    <xf numFmtId="0" fontId="27" fillId="5" borderId="0" xfId="0" applyFont="1" applyFill="1" applyBorder="1" applyProtection="1"/>
    <xf numFmtId="0" fontId="20" fillId="0" borderId="0" xfId="0" applyFont="1" applyFill="1" applyProtection="1"/>
    <xf numFmtId="0" fontId="20" fillId="0" borderId="0" xfId="0" applyFont="1" applyFill="1" applyBorder="1" applyAlignment="1" applyProtection="1">
      <alignment horizontal="left" vertical="center" indent="1"/>
    </xf>
    <xf numFmtId="0" fontId="21" fillId="0" borderId="0" xfId="0" applyFont="1" applyFill="1" applyProtection="1"/>
    <xf numFmtId="0" fontId="21" fillId="0" borderId="0" xfId="0" applyFont="1" applyFill="1" applyAlignment="1" applyProtection="1">
      <alignment horizontal="left"/>
    </xf>
    <xf numFmtId="0" fontId="29" fillId="0" borderId="0" xfId="0" applyFont="1" applyFill="1" applyProtection="1"/>
    <xf numFmtId="0" fontId="21" fillId="0" borderId="0" xfId="0" applyFont="1" applyFill="1" applyBorder="1" applyAlignment="1" applyProtection="1">
      <alignment horizontal="center" vertical="center"/>
    </xf>
    <xf numFmtId="0" fontId="27" fillId="0" borderId="0" xfId="0" applyFont="1" applyProtection="1"/>
    <xf numFmtId="0" fontId="27" fillId="0" borderId="0" xfId="0" applyFont="1" applyBorder="1" applyProtection="1"/>
    <xf numFmtId="0" fontId="30" fillId="0" borderId="0" xfId="0" applyFont="1" applyAlignment="1" applyProtection="1">
      <alignment vertical="center"/>
    </xf>
    <xf numFmtId="0" fontId="27" fillId="0" borderId="0" xfId="0" applyFont="1" applyAlignment="1" applyProtection="1">
      <alignment vertical="center"/>
    </xf>
    <xf numFmtId="0" fontId="28" fillId="0" borderId="0" xfId="0" applyFont="1" applyProtection="1"/>
    <xf numFmtId="0" fontId="27" fillId="0" borderId="0" xfId="0" applyFont="1" applyFill="1" applyProtection="1"/>
    <xf numFmtId="0" fontId="28" fillId="0" borderId="0" xfId="0" applyFont="1" applyFill="1" applyProtection="1"/>
    <xf numFmtId="2" fontId="29" fillId="0" borderId="0" xfId="0" applyNumberFormat="1" applyFont="1" applyFill="1" applyBorder="1" applyProtection="1"/>
    <xf numFmtId="0" fontId="25" fillId="0" borderId="0" xfId="0" applyFont="1" applyFill="1" applyBorder="1" applyProtection="1"/>
    <xf numFmtId="0" fontId="27" fillId="0" borderId="0" xfId="0" applyFont="1" applyAlignment="1" applyProtection="1">
      <alignment horizontal="left"/>
    </xf>
    <xf numFmtId="0" fontId="31" fillId="0" borderId="0" xfId="0" applyFont="1" applyProtection="1"/>
    <xf numFmtId="0" fontId="27" fillId="5" borderId="0" xfId="0" applyFont="1" applyFill="1" applyBorder="1" applyAlignment="1" applyProtection="1">
      <alignment horizontal="left" vertical="center"/>
    </xf>
    <xf numFmtId="0" fontId="27" fillId="0" borderId="0" xfId="0" applyFont="1" applyFill="1" applyBorder="1" applyAlignment="1" applyProtection="1">
      <alignment horizontal="left" vertical="center"/>
    </xf>
    <xf numFmtId="0" fontId="30" fillId="0" borderId="0" xfId="0" applyFont="1" applyFill="1" applyBorder="1" applyAlignment="1" applyProtection="1">
      <alignment vertical="center"/>
    </xf>
    <xf numFmtId="0" fontId="27" fillId="0" borderId="0" xfId="0" applyFont="1" applyFill="1" applyBorder="1" applyAlignment="1" applyProtection="1">
      <alignment vertical="center"/>
    </xf>
    <xf numFmtId="0" fontId="27" fillId="0" borderId="0" xfId="0" applyFont="1" applyFill="1" applyBorder="1" applyProtection="1"/>
    <xf numFmtId="0" fontId="28" fillId="0" borderId="0" xfId="0" applyFont="1" applyFill="1" applyBorder="1" applyProtection="1"/>
    <xf numFmtId="0" fontId="28" fillId="0" borderId="0" xfId="0" applyFont="1" applyBorder="1" applyProtection="1"/>
    <xf numFmtId="0" fontId="27" fillId="0" borderId="0" xfId="0" applyFont="1" applyBorder="1" applyAlignment="1" applyProtection="1">
      <alignment horizontal="left"/>
    </xf>
    <xf numFmtId="0" fontId="31" fillId="0" borderId="0" xfId="0" applyFont="1" applyBorder="1" applyProtection="1"/>
    <xf numFmtId="0" fontId="21"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2" fontId="20" fillId="0" borderId="0" xfId="0" applyNumberFormat="1" applyFont="1" applyFill="1" applyBorder="1" applyAlignment="1" applyProtection="1">
      <alignment vertical="center"/>
    </xf>
    <xf numFmtId="2" fontId="32" fillId="0" borderId="0" xfId="0" applyNumberFormat="1" applyFont="1" applyFill="1" applyBorder="1" applyProtection="1"/>
    <xf numFmtId="0" fontId="20" fillId="0" borderId="0" xfId="0" applyFont="1" applyFill="1" applyBorder="1" applyAlignment="1" applyProtection="1">
      <alignment horizontal="left" vertical="center"/>
    </xf>
    <xf numFmtId="2" fontId="29" fillId="0" borderId="0" xfId="0" applyNumberFormat="1" applyFont="1" applyFill="1" applyBorder="1" applyAlignment="1" applyProtection="1">
      <alignment vertical="center"/>
    </xf>
    <xf numFmtId="0" fontId="20" fillId="0" borderId="0" xfId="0" applyFont="1" applyBorder="1" applyProtection="1"/>
    <xf numFmtId="0" fontId="21" fillId="0" borderId="0" xfId="0" applyFont="1" applyFill="1" applyBorder="1" applyProtection="1"/>
    <xf numFmtId="0" fontId="20" fillId="0" borderId="0" xfId="0" applyFont="1" applyProtection="1"/>
    <xf numFmtId="0" fontId="20" fillId="0" borderId="0" xfId="0" applyFont="1" applyAlignment="1" applyProtection="1">
      <alignment horizontal="center"/>
    </xf>
    <xf numFmtId="0" fontId="20" fillId="0" borderId="0" xfId="0" applyFont="1" applyFill="1" applyBorder="1" applyAlignment="1" applyProtection="1">
      <alignment horizontal="center"/>
    </xf>
    <xf numFmtId="0" fontId="32" fillId="0" borderId="0" xfId="0" applyFont="1" applyFill="1" applyBorder="1" applyAlignment="1" applyProtection="1">
      <alignment horizontal="center"/>
    </xf>
    <xf numFmtId="0" fontId="32" fillId="0" borderId="0" xfId="0" applyFont="1" applyAlignment="1" applyProtection="1">
      <alignment horizontal="center"/>
    </xf>
    <xf numFmtId="0" fontId="20" fillId="0" borderId="0" xfId="0" applyFont="1" applyBorder="1" applyAlignment="1" applyProtection="1">
      <alignment horizontal="center"/>
    </xf>
    <xf numFmtId="0" fontId="32" fillId="0" borderId="0" xfId="0" applyFont="1" applyFill="1" applyProtection="1"/>
    <xf numFmtId="0" fontId="20" fillId="0" borderId="0" xfId="0" applyFont="1" applyFill="1" applyBorder="1" applyAlignment="1" applyProtection="1">
      <alignment horizontal="center" vertical="center" wrapText="1"/>
    </xf>
    <xf numFmtId="0" fontId="25" fillId="0" borderId="0" xfId="0" applyFont="1" applyFill="1" applyProtection="1"/>
    <xf numFmtId="0" fontId="20" fillId="0" borderId="0" xfId="0" applyFont="1" applyFill="1" applyBorder="1" applyAlignment="1" applyProtection="1">
      <alignment horizontal="center" vertical="center"/>
    </xf>
    <xf numFmtId="0" fontId="20" fillId="2" borderId="8" xfId="0" applyFont="1" applyFill="1" applyBorder="1" applyAlignment="1" applyProtection="1">
      <alignment horizontal="center" vertical="center"/>
    </xf>
    <xf numFmtId="0" fontId="20" fillId="2" borderId="0" xfId="0" applyFont="1" applyFill="1" applyBorder="1" applyAlignment="1" applyProtection="1">
      <alignment horizontal="center" vertical="center"/>
    </xf>
    <xf numFmtId="0" fontId="21" fillId="0" borderId="0" xfId="0" applyFont="1" applyFill="1" applyBorder="1" applyAlignment="1" applyProtection="1">
      <alignment horizontal="right"/>
    </xf>
    <xf numFmtId="3" fontId="32" fillId="0" borderId="0" xfId="0" applyNumberFormat="1" applyFont="1" applyFill="1" applyBorder="1" applyAlignment="1" applyProtection="1">
      <alignment horizontal="center" vertical="center"/>
    </xf>
    <xf numFmtId="0" fontId="20" fillId="0" borderId="1" xfId="0" applyFont="1" applyFill="1" applyBorder="1" applyAlignment="1" applyProtection="1">
      <alignment horizontal="center" vertical="center"/>
    </xf>
    <xf numFmtId="0" fontId="32" fillId="0" borderId="0" xfId="0" applyFont="1" applyFill="1" applyBorder="1" applyAlignment="1" applyProtection="1">
      <alignment horizontal="center" vertical="center"/>
    </xf>
    <xf numFmtId="0" fontId="33" fillId="0" borderId="0" xfId="0" applyFont="1" applyAlignment="1" applyProtection="1">
      <alignment horizontal="center"/>
    </xf>
    <xf numFmtId="0" fontId="33" fillId="0" borderId="0" xfId="0" applyFont="1" applyBorder="1" applyAlignment="1" applyProtection="1">
      <alignment horizontal="center"/>
    </xf>
    <xf numFmtId="0" fontId="32" fillId="0" borderId="0" xfId="0" applyFont="1" applyFill="1" applyAlignment="1" applyProtection="1">
      <alignment horizontal="center"/>
    </xf>
    <xf numFmtId="0" fontId="20" fillId="3" borderId="9" xfId="0" applyFont="1" applyFill="1" applyBorder="1" applyAlignment="1" applyProtection="1">
      <alignment horizontal="center"/>
    </xf>
    <xf numFmtId="0" fontId="20" fillId="3" borderId="0" xfId="0" applyFont="1" applyFill="1" applyBorder="1" applyAlignment="1" applyProtection="1">
      <alignment horizontal="center"/>
    </xf>
    <xf numFmtId="0" fontId="21" fillId="0" borderId="0" xfId="0" applyFont="1" applyAlignment="1" applyProtection="1">
      <alignment horizontal="center"/>
    </xf>
    <xf numFmtId="0" fontId="33" fillId="0" borderId="0" xfId="0" applyFont="1" applyProtection="1"/>
    <xf numFmtId="0" fontId="33" fillId="5" borderId="0" xfId="0" applyFont="1" applyFill="1" applyBorder="1" applyProtection="1"/>
    <xf numFmtId="0" fontId="33" fillId="0" borderId="0" xfId="0" applyFont="1" applyBorder="1" applyProtection="1"/>
    <xf numFmtId="0" fontId="21" fillId="5" borderId="12" xfId="0" applyFont="1" applyFill="1" applyBorder="1" applyAlignment="1" applyProtection="1">
      <alignment horizontal="center"/>
    </xf>
    <xf numFmtId="0" fontId="21" fillId="0" borderId="0" xfId="0" applyFont="1" applyFill="1" applyBorder="1" applyAlignment="1" applyProtection="1">
      <alignment horizontal="center"/>
    </xf>
    <xf numFmtId="0" fontId="21" fillId="3" borderId="10" xfId="0" applyFont="1" applyFill="1" applyBorder="1" applyAlignment="1" applyProtection="1">
      <alignment horizontal="center"/>
    </xf>
    <xf numFmtId="0" fontId="21" fillId="3" borderId="0" xfId="0" applyFont="1" applyFill="1" applyBorder="1" applyAlignment="1" applyProtection="1">
      <alignment horizontal="center"/>
    </xf>
    <xf numFmtId="0" fontId="20" fillId="3" borderId="10" xfId="0" applyFont="1" applyFill="1" applyBorder="1" applyAlignment="1" applyProtection="1">
      <alignment horizontal="center"/>
    </xf>
    <xf numFmtId="4" fontId="21" fillId="5" borderId="0" xfId="0" applyNumberFormat="1" applyFont="1" applyFill="1" applyBorder="1" applyProtection="1"/>
    <xf numFmtId="4" fontId="27" fillId="5" borderId="0" xfId="0" applyNumberFormat="1" applyFont="1" applyFill="1" applyBorder="1" applyProtection="1"/>
    <xf numFmtId="4" fontId="21" fillId="0" borderId="0" xfId="0" applyNumberFormat="1" applyFont="1" applyBorder="1" applyProtection="1"/>
    <xf numFmtId="4" fontId="21" fillId="5" borderId="12" xfId="0" applyNumberFormat="1" applyFont="1" applyFill="1" applyBorder="1" applyAlignment="1" applyProtection="1">
      <alignment horizontal="center"/>
    </xf>
    <xf numFmtId="4" fontId="32" fillId="0" borderId="0" xfId="0" applyNumberFormat="1" applyFont="1" applyFill="1" applyBorder="1" applyAlignment="1" applyProtection="1">
      <alignment horizontal="center"/>
    </xf>
    <xf numFmtId="4" fontId="35" fillId="0" borderId="0" xfId="0" applyNumberFormat="1" applyFont="1" applyFill="1" applyBorder="1" applyAlignment="1" applyProtection="1">
      <alignment horizontal="center"/>
    </xf>
    <xf numFmtId="4" fontId="20" fillId="3" borderId="10" xfId="0" applyNumberFormat="1" applyFont="1" applyFill="1" applyBorder="1" applyAlignment="1" applyProtection="1">
      <alignment horizontal="center"/>
    </xf>
    <xf numFmtId="4" fontId="20" fillId="3" borderId="0" xfId="0" applyNumberFormat="1" applyFont="1" applyFill="1" applyBorder="1" applyAlignment="1" applyProtection="1">
      <alignment horizontal="center"/>
    </xf>
    <xf numFmtId="4" fontId="25" fillId="0" borderId="0" xfId="0" applyNumberFormat="1" applyFont="1" applyFill="1" applyBorder="1" applyAlignment="1" applyProtection="1">
      <alignment horizontal="center"/>
    </xf>
    <xf numFmtId="4" fontId="20" fillId="0" borderId="0" xfId="0" applyNumberFormat="1" applyFont="1" applyFill="1" applyBorder="1" applyAlignment="1" applyProtection="1">
      <alignment horizontal="center"/>
    </xf>
    <xf numFmtId="4" fontId="20" fillId="3" borderId="11" xfId="0" applyNumberFormat="1" applyFont="1" applyFill="1" applyBorder="1" applyAlignment="1" applyProtection="1">
      <alignment horizontal="center"/>
    </xf>
    <xf numFmtId="176" fontId="32" fillId="0" borderId="0" xfId="0" applyNumberFormat="1" applyFont="1" applyFill="1" applyBorder="1" applyAlignment="1" applyProtection="1">
      <alignment horizontal="center"/>
      <protection hidden="1"/>
    </xf>
    <xf numFmtId="4" fontId="20" fillId="0" borderId="4" xfId="0" applyNumberFormat="1" applyFont="1" applyFill="1" applyBorder="1" applyAlignment="1" applyProtection="1">
      <alignment horizontal="center"/>
    </xf>
    <xf numFmtId="164" fontId="32" fillId="0" borderId="0" xfId="0" applyNumberFormat="1" applyFont="1" applyFill="1" applyBorder="1" applyAlignment="1" applyProtection="1">
      <alignment horizontal="center"/>
    </xf>
    <xf numFmtId="164" fontId="21" fillId="0" borderId="0" xfId="0" applyNumberFormat="1" applyFont="1" applyFill="1" applyBorder="1" applyAlignment="1" applyProtection="1">
      <alignment horizontal="center"/>
    </xf>
    <xf numFmtId="164" fontId="20" fillId="3" borderId="9" xfId="0" applyNumberFormat="1" applyFont="1" applyFill="1" applyBorder="1" applyAlignment="1" applyProtection="1">
      <alignment horizontal="center"/>
    </xf>
    <xf numFmtId="164" fontId="20" fillId="3" borderId="0" xfId="0" applyNumberFormat="1" applyFont="1" applyFill="1" applyBorder="1" applyAlignment="1" applyProtection="1">
      <alignment horizontal="center"/>
    </xf>
    <xf numFmtId="164" fontId="25" fillId="0" borderId="0" xfId="0" applyNumberFormat="1" applyFont="1" applyFill="1" applyBorder="1" applyAlignment="1" applyProtection="1">
      <alignment horizontal="center"/>
    </xf>
    <xf numFmtId="164" fontId="20" fillId="3" borderId="11" xfId="0" applyNumberFormat="1" applyFont="1" applyFill="1" applyBorder="1" applyAlignment="1" applyProtection="1">
      <alignment horizontal="center"/>
    </xf>
    <xf numFmtId="2" fontId="21" fillId="0" borderId="0" xfId="0" applyNumberFormat="1" applyFont="1" applyBorder="1" applyProtection="1"/>
    <xf numFmtId="2" fontId="25" fillId="0" borderId="0" xfId="0" applyNumberFormat="1" applyFont="1" applyFill="1" applyBorder="1" applyAlignment="1" applyProtection="1">
      <alignment horizontal="center"/>
    </xf>
    <xf numFmtId="4" fontId="20" fillId="3" borderId="9" xfId="0" applyNumberFormat="1" applyFont="1" applyFill="1" applyBorder="1" applyAlignment="1" applyProtection="1">
      <alignment horizontal="center"/>
    </xf>
    <xf numFmtId="0" fontId="21" fillId="5" borderId="5" xfId="0" applyFont="1" applyFill="1" applyBorder="1" applyProtection="1"/>
    <xf numFmtId="0" fontId="27" fillId="5" borderId="5" xfId="0" applyFont="1" applyFill="1" applyBorder="1" applyProtection="1"/>
    <xf numFmtId="4" fontId="21" fillId="5" borderId="13" xfId="0" applyNumberFormat="1" applyFont="1" applyFill="1" applyBorder="1" applyAlignment="1" applyProtection="1">
      <alignment horizontal="center"/>
    </xf>
    <xf numFmtId="4" fontId="21" fillId="0" borderId="0" xfId="0" applyNumberFormat="1" applyFont="1" applyFill="1" applyBorder="1" applyAlignment="1" applyProtection="1">
      <alignment horizontal="center"/>
    </xf>
    <xf numFmtId="2" fontId="20" fillId="0" borderId="0" xfId="0" applyNumberFormat="1" applyFont="1" applyProtection="1"/>
    <xf numFmtId="4" fontId="21" fillId="0" borderId="14" xfId="0" applyNumberFormat="1" applyFont="1" applyBorder="1" applyAlignment="1" applyProtection="1">
      <alignment horizontal="center"/>
    </xf>
    <xf numFmtId="0" fontId="20" fillId="5" borderId="0" xfId="0" applyFont="1" applyFill="1" applyBorder="1" applyProtection="1"/>
    <xf numFmtId="164" fontId="21" fillId="5" borderId="15" xfId="0" applyNumberFormat="1" applyFont="1" applyFill="1" applyBorder="1" applyAlignment="1" applyProtection="1">
      <alignment horizontal="center"/>
    </xf>
    <xf numFmtId="4" fontId="21" fillId="0" borderId="16" xfId="0" applyNumberFormat="1" applyFont="1" applyBorder="1" applyAlignment="1" applyProtection="1">
      <alignment horizontal="center"/>
    </xf>
    <xf numFmtId="2" fontId="32" fillId="0" borderId="0" xfId="0" applyNumberFormat="1" applyFont="1" applyFill="1" applyBorder="1" applyAlignment="1" applyProtection="1">
      <alignment horizontal="center"/>
    </xf>
    <xf numFmtId="2" fontId="20" fillId="0" borderId="0" xfId="0" applyNumberFormat="1" applyFont="1" applyFill="1" applyBorder="1" applyAlignment="1" applyProtection="1">
      <alignment horizontal="center"/>
    </xf>
    <xf numFmtId="4" fontId="20" fillId="4" borderId="14" xfId="0" applyNumberFormat="1" applyFont="1" applyFill="1" applyBorder="1" applyAlignment="1" applyProtection="1">
      <alignment horizontal="center"/>
    </xf>
    <xf numFmtId="172" fontId="21" fillId="0" borderId="0" xfId="0" applyNumberFormat="1" applyFont="1" applyProtection="1"/>
    <xf numFmtId="4" fontId="21" fillId="0" borderId="0" xfId="0" applyNumberFormat="1" applyFont="1" applyProtection="1"/>
    <xf numFmtId="0" fontId="21" fillId="5" borderId="17" xfId="0" applyFont="1" applyFill="1" applyBorder="1" applyProtection="1"/>
    <xf numFmtId="0" fontId="27" fillId="5" borderId="17" xfId="0" applyFont="1" applyFill="1" applyBorder="1" applyProtection="1"/>
    <xf numFmtId="164" fontId="25" fillId="0" borderId="17" xfId="0" applyNumberFormat="1" applyFont="1" applyFill="1" applyBorder="1" applyAlignment="1" applyProtection="1">
      <alignment horizontal="center"/>
    </xf>
    <xf numFmtId="4" fontId="21" fillId="0" borderId="16" xfId="0" applyNumberFormat="1" applyFont="1" applyFill="1" applyBorder="1" applyAlignment="1" applyProtection="1">
      <alignment horizontal="center"/>
    </xf>
    <xf numFmtId="4" fontId="20" fillId="4" borderId="10" xfId="0" applyNumberFormat="1" applyFont="1" applyFill="1" applyBorder="1" applyAlignment="1" applyProtection="1">
      <alignment horizontal="center"/>
    </xf>
    <xf numFmtId="3" fontId="21" fillId="5" borderId="12" xfId="0" applyNumberFormat="1" applyFont="1" applyFill="1" applyBorder="1" applyAlignment="1" applyProtection="1">
      <alignment horizontal="center"/>
    </xf>
    <xf numFmtId="3" fontId="25" fillId="0" borderId="0" xfId="0" applyNumberFormat="1" applyFont="1" applyFill="1" applyBorder="1" applyAlignment="1" applyProtection="1">
      <alignment horizontal="center"/>
    </xf>
    <xf numFmtId="3" fontId="21" fillId="0" borderId="0" xfId="0" applyNumberFormat="1" applyFont="1" applyFill="1" applyBorder="1" applyAlignment="1" applyProtection="1">
      <alignment horizontal="center"/>
    </xf>
    <xf numFmtId="3" fontId="21" fillId="0" borderId="10" xfId="0" applyNumberFormat="1" applyFont="1" applyFill="1" applyBorder="1" applyAlignment="1" applyProtection="1">
      <alignment horizontal="center"/>
    </xf>
    <xf numFmtId="4" fontId="21" fillId="0" borderId="10" xfId="0" applyNumberFormat="1" applyFont="1" applyFill="1" applyBorder="1" applyAlignment="1" applyProtection="1">
      <alignment horizontal="center"/>
    </xf>
    <xf numFmtId="3" fontId="32" fillId="0" borderId="0" xfId="0" applyNumberFormat="1" applyFont="1" applyFill="1" applyBorder="1" applyAlignment="1" applyProtection="1">
      <alignment horizontal="center"/>
    </xf>
    <xf numFmtId="3" fontId="20" fillId="0" borderId="0" xfId="0" applyNumberFormat="1" applyFont="1" applyFill="1" applyBorder="1" applyAlignment="1" applyProtection="1">
      <alignment horizontal="center"/>
    </xf>
    <xf numFmtId="4" fontId="20" fillId="4" borderId="11" xfId="0" applyNumberFormat="1" applyFont="1" applyFill="1" applyBorder="1" applyAlignment="1" applyProtection="1">
      <alignment horizontal="center"/>
    </xf>
    <xf numFmtId="2" fontId="21" fillId="0" borderId="0" xfId="0" applyNumberFormat="1" applyFont="1" applyAlignment="1" applyProtection="1">
      <alignment horizontal="center"/>
    </xf>
    <xf numFmtId="2" fontId="21" fillId="0" borderId="0" xfId="0" applyNumberFormat="1" applyFont="1" applyFill="1" applyAlignment="1" applyProtection="1">
      <alignment horizontal="center"/>
    </xf>
    <xf numFmtId="164" fontId="21" fillId="0" borderId="0" xfId="0" applyNumberFormat="1" applyFont="1" applyFill="1" applyProtection="1"/>
    <xf numFmtId="4" fontId="21" fillId="0" borderId="0" xfId="0" applyNumberFormat="1" applyFont="1" applyFill="1" applyProtection="1"/>
    <xf numFmtId="164" fontId="21" fillId="5" borderId="0" xfId="0" applyNumberFormat="1" applyFont="1" applyFill="1" applyBorder="1" applyProtection="1"/>
    <xf numFmtId="164" fontId="27" fillId="5" borderId="0" xfId="0" applyNumberFormat="1" applyFont="1" applyFill="1" applyBorder="1" applyProtection="1"/>
    <xf numFmtId="164" fontId="21" fillId="0" borderId="0" xfId="0" applyNumberFormat="1" applyFont="1" applyBorder="1" applyProtection="1"/>
    <xf numFmtId="166" fontId="21" fillId="5" borderId="13" xfId="0" applyNumberFormat="1" applyFont="1" applyFill="1" applyBorder="1" applyAlignment="1" applyProtection="1">
      <alignment horizontal="center"/>
    </xf>
    <xf numFmtId="166" fontId="25" fillId="0" borderId="0" xfId="0" applyNumberFormat="1" applyFont="1" applyFill="1" applyBorder="1" applyAlignment="1" applyProtection="1">
      <alignment horizontal="center"/>
    </xf>
    <xf numFmtId="166" fontId="37" fillId="0" borderId="0" xfId="0" applyNumberFormat="1" applyFont="1" applyFill="1" applyBorder="1" applyAlignment="1" applyProtection="1">
      <alignment horizontal="center"/>
    </xf>
    <xf numFmtId="4" fontId="20" fillId="3" borderId="14" xfId="0" applyNumberFormat="1" applyFont="1" applyFill="1" applyBorder="1" applyAlignment="1" applyProtection="1">
      <alignment horizontal="center"/>
    </xf>
    <xf numFmtId="4" fontId="20" fillId="4" borderId="16" xfId="0" applyNumberFormat="1" applyFont="1" applyFill="1" applyBorder="1" applyAlignment="1" applyProtection="1">
      <alignment horizontal="center"/>
    </xf>
    <xf numFmtId="164" fontId="21" fillId="0" borderId="0" xfId="0" applyNumberFormat="1" applyFont="1" applyProtection="1"/>
    <xf numFmtId="3" fontId="21" fillId="5" borderId="20" xfId="0" applyNumberFormat="1" applyFont="1" applyFill="1" applyBorder="1" applyAlignment="1" applyProtection="1">
      <alignment horizontal="center"/>
    </xf>
    <xf numFmtId="164" fontId="25" fillId="0" borderId="0" xfId="0" applyNumberFormat="1" applyFont="1" applyFill="1" applyProtection="1"/>
    <xf numFmtId="164" fontId="21" fillId="0" borderId="0" xfId="0" applyNumberFormat="1" applyFont="1" applyAlignment="1" applyProtection="1">
      <alignment horizontal="left"/>
    </xf>
    <xf numFmtId="164" fontId="20" fillId="0" borderId="0" xfId="0" applyNumberFormat="1" applyFont="1" applyProtection="1"/>
    <xf numFmtId="4" fontId="21" fillId="0" borderId="21" xfId="0" applyNumberFormat="1" applyFont="1" applyFill="1" applyBorder="1" applyAlignment="1" applyProtection="1">
      <alignment horizontal="center"/>
    </xf>
    <xf numFmtId="3" fontId="21" fillId="5" borderId="13" xfId="0" applyNumberFormat="1" applyFont="1" applyFill="1" applyBorder="1" applyAlignment="1" applyProtection="1">
      <alignment horizontal="center"/>
    </xf>
    <xf numFmtId="4" fontId="25" fillId="0" borderId="0" xfId="0" applyNumberFormat="1" applyFont="1" applyFill="1" applyProtection="1"/>
    <xf numFmtId="4" fontId="21" fillId="0" borderId="0" xfId="0" applyNumberFormat="1" applyFont="1" applyAlignment="1" applyProtection="1">
      <alignment horizontal="left"/>
    </xf>
    <xf numFmtId="4" fontId="20" fillId="0" borderId="0" xfId="0" applyNumberFormat="1" applyFont="1" applyProtection="1"/>
    <xf numFmtId="4" fontId="21" fillId="0" borderId="14" xfId="0" applyNumberFormat="1" applyFont="1" applyFill="1" applyBorder="1" applyAlignment="1" applyProtection="1">
      <alignment horizontal="center"/>
    </xf>
    <xf numFmtId="166" fontId="21" fillId="0" borderId="0" xfId="0" applyNumberFormat="1" applyFont="1" applyFill="1" applyBorder="1" applyAlignment="1" applyProtection="1">
      <alignment horizontal="center"/>
    </xf>
    <xf numFmtId="166" fontId="21" fillId="0" borderId="11" xfId="0" applyNumberFormat="1" applyFont="1" applyBorder="1" applyAlignment="1" applyProtection="1">
      <alignment horizontal="center"/>
    </xf>
    <xf numFmtId="166" fontId="21" fillId="0" borderId="0" xfId="0" applyNumberFormat="1" applyFont="1" applyBorder="1" applyAlignment="1" applyProtection="1">
      <alignment horizontal="center"/>
    </xf>
    <xf numFmtId="2" fontId="21" fillId="0" borderId="0" xfId="0" applyNumberFormat="1" applyFont="1" applyFill="1" applyBorder="1" applyAlignment="1" applyProtection="1">
      <alignment horizontal="center"/>
    </xf>
    <xf numFmtId="2" fontId="20" fillId="3" borderId="9" xfId="0" applyNumberFormat="1" applyFont="1" applyFill="1" applyBorder="1" applyAlignment="1" applyProtection="1">
      <alignment horizontal="center"/>
    </xf>
    <xf numFmtId="1" fontId="25" fillId="0" borderId="0" xfId="0" applyNumberFormat="1" applyFont="1" applyFill="1" applyBorder="1" applyAlignment="1" applyProtection="1">
      <alignment horizontal="center"/>
    </xf>
    <xf numFmtId="1" fontId="21" fillId="0" borderId="0" xfId="0" applyNumberFormat="1" applyFont="1" applyFill="1" applyBorder="1" applyAlignment="1" applyProtection="1">
      <alignment horizontal="center"/>
    </xf>
    <xf numFmtId="1" fontId="20" fillId="3" borderId="11" xfId="0" applyNumberFormat="1" applyFont="1" applyFill="1" applyBorder="1" applyAlignment="1" applyProtection="1">
      <alignment horizontal="center"/>
    </xf>
    <xf numFmtId="1" fontId="20" fillId="3" borderId="0" xfId="0" applyNumberFormat="1" applyFont="1" applyFill="1" applyBorder="1" applyAlignment="1" applyProtection="1">
      <alignment horizontal="center"/>
    </xf>
    <xf numFmtId="1" fontId="25" fillId="0" borderId="0" xfId="0" applyNumberFormat="1" applyFont="1" applyFill="1" applyBorder="1" applyAlignment="1" applyProtection="1">
      <alignment horizontal="center" vertical="center"/>
    </xf>
    <xf numFmtId="0" fontId="29" fillId="0" borderId="0" xfId="0" applyFont="1" applyProtection="1"/>
    <xf numFmtId="176" fontId="25" fillId="0" borderId="0" xfId="0" applyNumberFormat="1" applyFont="1" applyFill="1" applyBorder="1" applyAlignment="1" applyProtection="1">
      <alignment horizontal="center"/>
    </xf>
    <xf numFmtId="43" fontId="25" fillId="0" borderId="0" xfId="4" applyFont="1" applyFill="1" applyBorder="1" applyAlignment="1" applyProtection="1"/>
    <xf numFmtId="176" fontId="25" fillId="0" borderId="0" xfId="0" applyNumberFormat="1" applyFont="1" applyFill="1" applyProtection="1">
      <protection hidden="1"/>
    </xf>
    <xf numFmtId="2" fontId="20" fillId="3" borderId="18" xfId="0" applyNumberFormat="1" applyFont="1" applyFill="1" applyBorder="1" applyAlignment="1" applyProtection="1">
      <alignment horizontal="center"/>
    </xf>
    <xf numFmtId="2" fontId="20" fillId="3" borderId="0" xfId="0" applyNumberFormat="1" applyFont="1" applyFill="1" applyBorder="1" applyAlignment="1" applyProtection="1">
      <alignment horizontal="center"/>
    </xf>
    <xf numFmtId="0" fontId="26" fillId="5" borderId="0" xfId="0" applyFont="1" applyFill="1" applyBorder="1" applyProtection="1"/>
    <xf numFmtId="0" fontId="30" fillId="5" borderId="0" xfId="0" applyFont="1" applyFill="1" applyBorder="1" applyAlignment="1" applyProtection="1">
      <alignment horizontal="left"/>
    </xf>
    <xf numFmtId="4" fontId="21" fillId="5" borderId="27" xfId="0" applyNumberFormat="1" applyFont="1" applyFill="1" applyBorder="1" applyAlignment="1" applyProtection="1">
      <alignment horizontal="center"/>
    </xf>
    <xf numFmtId="176" fontId="32" fillId="0" borderId="0" xfId="0" applyNumberFormat="1" applyFont="1" applyFill="1" applyProtection="1">
      <protection hidden="1"/>
    </xf>
    <xf numFmtId="4" fontId="39" fillId="0" borderId="7" xfId="0" applyNumberFormat="1" applyFont="1" applyFill="1" applyBorder="1" applyAlignment="1" applyProtection="1">
      <alignment horizontal="center"/>
    </xf>
    <xf numFmtId="4" fontId="39" fillId="0" borderId="0" xfId="0" applyNumberFormat="1" applyFont="1" applyFill="1" applyBorder="1" applyAlignment="1" applyProtection="1">
      <alignment horizontal="center"/>
    </xf>
    <xf numFmtId="4" fontId="40" fillId="0" borderId="0" xfId="0" applyNumberFormat="1" applyFont="1" applyFill="1" applyBorder="1" applyAlignment="1" applyProtection="1">
      <alignment horizontal="center"/>
    </xf>
    <xf numFmtId="4" fontId="21" fillId="5" borderId="23" xfId="0" applyNumberFormat="1" applyFont="1" applyFill="1" applyBorder="1" applyAlignment="1" applyProtection="1">
      <alignment horizontal="center"/>
    </xf>
    <xf numFmtId="43" fontId="32" fillId="0" borderId="0" xfId="4" applyFont="1" applyFill="1" applyBorder="1" applyAlignment="1" applyProtection="1"/>
    <xf numFmtId="0" fontId="21" fillId="0" borderId="0" xfId="0" applyFont="1" applyBorder="1" applyAlignment="1" applyProtection="1"/>
    <xf numFmtId="4" fontId="40" fillId="0" borderId="3" xfId="0" applyNumberFormat="1" applyFont="1" applyFill="1" applyBorder="1" applyAlignment="1" applyProtection="1">
      <alignment horizontal="center"/>
    </xf>
    <xf numFmtId="0" fontId="40" fillId="0" borderId="0" xfId="0" applyFont="1" applyFill="1" applyBorder="1" applyProtection="1"/>
    <xf numFmtId="0" fontId="40" fillId="0" borderId="0" xfId="0" applyFont="1" applyFill="1" applyProtection="1"/>
    <xf numFmtId="4" fontId="40" fillId="0" borderId="26" xfId="0" applyNumberFormat="1" applyFont="1" applyFill="1" applyBorder="1" applyAlignment="1" applyProtection="1">
      <alignment horizontal="center"/>
    </xf>
    <xf numFmtId="166" fontId="32" fillId="0" borderId="0" xfId="0" applyNumberFormat="1" applyFont="1" applyFill="1" applyBorder="1" applyAlignment="1" applyProtection="1">
      <alignment horizontal="center"/>
    </xf>
    <xf numFmtId="166" fontId="20" fillId="0" borderId="0" xfId="0" applyNumberFormat="1" applyFont="1" applyFill="1" applyBorder="1" applyAlignment="1" applyProtection="1">
      <alignment horizontal="center"/>
    </xf>
    <xf numFmtId="3" fontId="20" fillId="4" borderId="0" xfId="0" applyNumberFormat="1" applyFont="1" applyFill="1" applyBorder="1" applyAlignment="1" applyProtection="1">
      <alignment horizontal="center"/>
    </xf>
    <xf numFmtId="4" fontId="40" fillId="5" borderId="27" xfId="0" applyNumberFormat="1" applyFont="1" applyFill="1" applyBorder="1" applyAlignment="1" applyProtection="1">
      <alignment horizontal="center"/>
    </xf>
    <xf numFmtId="9" fontId="20" fillId="3" borderId="19" xfId="3" applyFont="1" applyFill="1" applyBorder="1" applyAlignment="1" applyProtection="1">
      <alignment horizontal="center"/>
    </xf>
    <xf numFmtId="9" fontId="20" fillId="3" borderId="0" xfId="3" applyFont="1" applyFill="1" applyBorder="1" applyAlignment="1" applyProtection="1">
      <alignment horizontal="center"/>
    </xf>
    <xf numFmtId="3" fontId="21" fillId="0" borderId="6" xfId="0" applyNumberFormat="1" applyFont="1" applyFill="1" applyBorder="1" applyAlignment="1" applyProtection="1">
      <alignment horizontal="center"/>
    </xf>
    <xf numFmtId="175" fontId="32" fillId="0" borderId="0" xfId="0" applyNumberFormat="1" applyFont="1" applyFill="1" applyBorder="1" applyAlignment="1" applyProtection="1">
      <alignment horizontal="center"/>
    </xf>
    <xf numFmtId="175" fontId="21" fillId="0" borderId="0" xfId="3" applyNumberFormat="1" applyFont="1" applyFill="1" applyBorder="1" applyAlignment="1" applyProtection="1">
      <alignment horizontal="center"/>
    </xf>
    <xf numFmtId="3" fontId="21" fillId="0" borderId="16" xfId="0" applyNumberFormat="1" applyFont="1" applyFill="1" applyBorder="1" applyAlignment="1" applyProtection="1">
      <alignment horizontal="center"/>
    </xf>
    <xf numFmtId="9" fontId="20" fillId="0" borderId="0" xfId="3" applyFont="1" applyFill="1" applyBorder="1" applyAlignment="1" applyProtection="1">
      <alignment horizontal="center"/>
    </xf>
    <xf numFmtId="9" fontId="25" fillId="0" borderId="0" xfId="3" applyFont="1" applyFill="1" applyBorder="1" applyAlignment="1" applyProtection="1">
      <alignment horizontal="center"/>
    </xf>
    <xf numFmtId="9" fontId="21" fillId="0" borderId="0" xfId="3" applyFont="1" applyFill="1" applyBorder="1" applyAlignment="1" applyProtection="1">
      <alignment horizontal="center"/>
    </xf>
    <xf numFmtId="166" fontId="21" fillId="5" borderId="27" xfId="0" applyNumberFormat="1" applyFont="1" applyFill="1" applyBorder="1" applyAlignment="1" applyProtection="1">
      <alignment horizontal="center"/>
    </xf>
    <xf numFmtId="0" fontId="27" fillId="5" borderId="0" xfId="0" applyFont="1" applyFill="1" applyBorder="1" applyAlignment="1" applyProtection="1">
      <alignment horizontal="left"/>
    </xf>
    <xf numFmtId="3" fontId="20" fillId="0" borderId="0" xfId="3" applyNumberFormat="1" applyFont="1" applyFill="1" applyBorder="1" applyAlignment="1" applyProtection="1">
      <alignment horizontal="center"/>
    </xf>
    <xf numFmtId="3" fontId="21" fillId="0" borderId="18" xfId="0" applyNumberFormat="1" applyFont="1" applyFill="1" applyBorder="1" applyAlignment="1" applyProtection="1">
      <alignment horizontal="center"/>
    </xf>
    <xf numFmtId="3" fontId="20" fillId="4" borderId="7" xfId="0" applyNumberFormat="1" applyFont="1" applyFill="1" applyBorder="1" applyAlignment="1" applyProtection="1">
      <alignment horizontal="center"/>
    </xf>
    <xf numFmtId="2" fontId="21" fillId="0" borderId="0" xfId="0" applyNumberFormat="1" applyFont="1" applyProtection="1"/>
    <xf numFmtId="3" fontId="20" fillId="5" borderId="27" xfId="0" applyNumberFormat="1" applyFont="1" applyFill="1" applyBorder="1" applyAlignment="1" applyProtection="1">
      <alignment horizontal="center"/>
    </xf>
    <xf numFmtId="165" fontId="21" fillId="0" borderId="0" xfId="0" applyNumberFormat="1" applyFont="1" applyProtection="1"/>
    <xf numFmtId="174" fontId="32" fillId="0" borderId="0" xfId="0" applyNumberFormat="1" applyFont="1" applyFill="1" applyBorder="1" applyAlignment="1" applyProtection="1">
      <alignment horizontal="center"/>
    </xf>
    <xf numFmtId="174" fontId="25" fillId="0" borderId="0" xfId="0" applyNumberFormat="1" applyFont="1" applyFill="1" applyBorder="1" applyAlignment="1" applyProtection="1">
      <alignment horizontal="center"/>
    </xf>
    <xf numFmtId="2" fontId="25" fillId="0" borderId="0" xfId="0" applyNumberFormat="1" applyFont="1" applyProtection="1"/>
    <xf numFmtId="2" fontId="21" fillId="0" borderId="0" xfId="0" applyNumberFormat="1" applyFont="1" applyFill="1" applyProtection="1"/>
    <xf numFmtId="0" fontId="20" fillId="0" borderId="0" xfId="0" applyFont="1" applyFill="1" applyBorder="1" applyProtection="1"/>
    <xf numFmtId="165" fontId="20" fillId="0" borderId="0" xfId="0" applyNumberFormat="1" applyFont="1" applyFill="1" applyBorder="1" applyProtection="1"/>
    <xf numFmtId="1" fontId="20" fillId="0" borderId="0" xfId="0" applyNumberFormat="1" applyFont="1" applyFill="1" applyBorder="1" applyProtection="1"/>
    <xf numFmtId="1" fontId="32" fillId="0" borderId="0" xfId="0" applyNumberFormat="1" applyFont="1" applyFill="1" applyBorder="1" applyProtection="1"/>
    <xf numFmtId="4" fontId="20" fillId="0" borderId="0" xfId="0" applyNumberFormat="1" applyFont="1" applyFill="1" applyBorder="1" applyProtection="1"/>
    <xf numFmtId="4" fontId="20" fillId="5" borderId="0" xfId="0" applyNumberFormat="1" applyFont="1" applyFill="1" applyBorder="1" applyProtection="1"/>
    <xf numFmtId="0" fontId="25" fillId="0" borderId="0" xfId="0" applyFont="1" applyFill="1" applyBorder="1" applyAlignment="1" applyProtection="1">
      <alignment horizontal="right"/>
    </xf>
    <xf numFmtId="0" fontId="21" fillId="5" borderId="0" xfId="0" applyFont="1" applyFill="1" applyBorder="1" applyAlignment="1" applyProtection="1">
      <alignment horizontal="right"/>
    </xf>
    <xf numFmtId="165" fontId="20" fillId="0" borderId="0" xfId="0" applyNumberFormat="1" applyFont="1" applyFill="1" applyBorder="1" applyAlignment="1" applyProtection="1">
      <alignment horizontal="center"/>
    </xf>
    <xf numFmtId="2" fontId="21" fillId="0" borderId="0" xfId="0" applyNumberFormat="1" applyFont="1" applyFill="1" applyBorder="1" applyProtection="1"/>
    <xf numFmtId="165" fontId="21" fillId="0" borderId="0" xfId="0" applyNumberFormat="1" applyFont="1" applyFill="1" applyBorder="1" applyProtection="1"/>
    <xf numFmtId="1" fontId="21" fillId="0" borderId="0" xfId="0" applyNumberFormat="1" applyFont="1" applyFill="1" applyBorder="1" applyProtection="1"/>
    <xf numFmtId="1" fontId="25" fillId="0" borderId="0" xfId="0" applyNumberFormat="1" applyFont="1" applyFill="1" applyBorder="1" applyProtection="1"/>
    <xf numFmtId="4" fontId="21" fillId="0" borderId="0" xfId="0" applyNumberFormat="1" applyFont="1" applyFill="1" applyBorder="1" applyProtection="1"/>
    <xf numFmtId="0" fontId="32" fillId="0" borderId="0" xfId="0" applyFont="1" applyProtection="1"/>
    <xf numFmtId="0" fontId="25" fillId="0" borderId="0" xfId="0" applyFont="1" applyFill="1" applyBorder="1" applyAlignment="1" applyProtection="1">
      <alignment horizontal="center"/>
    </xf>
    <xf numFmtId="0" fontId="21" fillId="0" borderId="0" xfId="0" applyFont="1"/>
    <xf numFmtId="1" fontId="21" fillId="0" borderId="0" xfId="0" applyNumberFormat="1" applyFont="1"/>
    <xf numFmtId="165" fontId="21" fillId="0" borderId="0" xfId="0" applyNumberFormat="1" applyFont="1"/>
    <xf numFmtId="164" fontId="21" fillId="0" borderId="0" xfId="0" applyNumberFormat="1" applyFont="1"/>
    <xf numFmtId="0" fontId="21" fillId="0" borderId="0" xfId="0" applyFont="1" applyAlignment="1">
      <alignment vertical="center"/>
    </xf>
    <xf numFmtId="0" fontId="20" fillId="0" borderId="0" xfId="0" applyFont="1" applyAlignment="1">
      <alignment vertical="top" wrapText="1"/>
    </xf>
    <xf numFmtId="0" fontId="21" fillId="0" borderId="0" xfId="0" applyFont="1" applyAlignment="1">
      <alignment vertical="top" wrapText="1"/>
    </xf>
    <xf numFmtId="167" fontId="21" fillId="5" borderId="0" xfId="0" applyNumberFormat="1" applyFont="1" applyFill="1" applyBorder="1" applyAlignment="1">
      <alignment horizontal="center" vertical="center"/>
    </xf>
    <xf numFmtId="0" fontId="21" fillId="5" borderId="0" xfId="0" applyFont="1" applyFill="1" applyBorder="1" applyAlignment="1">
      <alignment horizontal="center" vertical="center"/>
    </xf>
    <xf numFmtId="0" fontId="21" fillId="5" borderId="0" xfId="0" applyFont="1" applyFill="1" applyBorder="1" applyAlignment="1" applyProtection="1">
      <alignment vertical="center"/>
      <protection hidden="1"/>
    </xf>
    <xf numFmtId="0" fontId="21" fillId="5" borderId="0" xfId="0" applyFont="1" applyFill="1" applyBorder="1" applyAlignment="1" applyProtection="1">
      <alignment vertical="center" wrapText="1"/>
      <protection hidden="1"/>
    </xf>
    <xf numFmtId="0" fontId="21" fillId="5" borderId="0" xfId="0" applyFont="1" applyFill="1" applyBorder="1" applyAlignment="1">
      <alignment vertical="center"/>
    </xf>
    <xf numFmtId="168" fontId="21" fillId="5" borderId="0" xfId="0" applyNumberFormat="1" applyFont="1" applyFill="1" applyBorder="1" applyAlignment="1">
      <alignment vertical="center"/>
    </xf>
    <xf numFmtId="169" fontId="21" fillId="5" borderId="0" xfId="0" applyNumberFormat="1" applyFont="1" applyFill="1" applyBorder="1" applyAlignment="1">
      <alignment horizontal="center" vertical="center"/>
    </xf>
    <xf numFmtId="171" fontId="21" fillId="5" borderId="0" xfId="0" applyNumberFormat="1" applyFont="1" applyFill="1" applyBorder="1" applyAlignment="1">
      <alignment horizontal="center" vertical="center"/>
    </xf>
    <xf numFmtId="168" fontId="21" fillId="5" borderId="0" xfId="0" applyNumberFormat="1" applyFont="1" applyFill="1" applyBorder="1" applyAlignment="1">
      <alignment horizontal="center" vertical="center"/>
    </xf>
    <xf numFmtId="0" fontId="21" fillId="5" borderId="0" xfId="0" applyFont="1" applyFill="1" applyBorder="1" applyAlignment="1">
      <alignment horizontal="left" vertical="center"/>
    </xf>
    <xf numFmtId="0" fontId="21" fillId="5" borderId="0" xfId="0" applyNumberFormat="1" applyFont="1" applyFill="1" applyBorder="1" applyAlignment="1">
      <alignment horizontal="left" vertical="center"/>
    </xf>
    <xf numFmtId="0" fontId="21" fillId="5" borderId="0" xfId="0" applyFont="1" applyFill="1" applyBorder="1" applyAlignment="1">
      <alignment vertical="center" wrapText="1"/>
    </xf>
    <xf numFmtId="1" fontId="21" fillId="0" borderId="0" xfId="0" applyNumberFormat="1" applyFont="1" applyAlignment="1">
      <alignment vertical="center"/>
    </xf>
    <xf numFmtId="165" fontId="21" fillId="0" borderId="0" xfId="0" applyNumberFormat="1" applyFont="1" applyAlignment="1">
      <alignment vertical="center"/>
    </xf>
    <xf numFmtId="164" fontId="21" fillId="0" borderId="0" xfId="0" applyNumberFormat="1" applyFont="1" applyAlignment="1">
      <alignment vertical="center"/>
    </xf>
    <xf numFmtId="1" fontId="21" fillId="5" borderId="0" xfId="0" applyNumberFormat="1" applyFont="1" applyFill="1" applyBorder="1" applyAlignment="1">
      <alignment vertical="center"/>
    </xf>
    <xf numFmtId="165" fontId="21" fillId="5" borderId="0" xfId="0" applyNumberFormat="1" applyFont="1" applyFill="1" applyBorder="1" applyAlignment="1">
      <alignment vertical="center"/>
    </xf>
    <xf numFmtId="164" fontId="21" fillId="5" borderId="0" xfId="0" applyNumberFormat="1" applyFont="1" applyFill="1" applyBorder="1" applyAlignment="1">
      <alignment vertical="center"/>
    </xf>
    <xf numFmtId="0" fontId="41" fillId="0" borderId="0" xfId="0" applyFont="1" applyFill="1" applyBorder="1" applyAlignment="1">
      <alignment vertical="center"/>
    </xf>
    <xf numFmtId="4" fontId="27" fillId="0" borderId="0" xfId="0" applyNumberFormat="1" applyFont="1" applyFill="1" applyBorder="1" applyProtection="1"/>
    <xf numFmtId="4" fontId="27" fillId="0" borderId="0" xfId="0" applyNumberFormat="1" applyFont="1" applyBorder="1" applyProtection="1"/>
    <xf numFmtId="0" fontId="20" fillId="5" borderId="28" xfId="0" applyFont="1" applyFill="1" applyBorder="1" applyAlignment="1" applyProtection="1">
      <alignment horizontal="left"/>
    </xf>
    <xf numFmtId="0" fontId="20" fillId="5" borderId="17" xfId="0" applyFont="1" applyFill="1" applyBorder="1" applyAlignment="1" applyProtection="1">
      <alignment horizontal="left"/>
    </xf>
    <xf numFmtId="0" fontId="21" fillId="5" borderId="17" xfId="0" applyFont="1" applyFill="1" applyBorder="1" applyAlignment="1" applyProtection="1">
      <alignment horizontal="left"/>
    </xf>
    <xf numFmtId="0" fontId="27" fillId="5" borderId="17" xfId="0" applyFont="1" applyFill="1" applyBorder="1" applyAlignment="1" applyProtection="1">
      <alignment horizontal="left"/>
    </xf>
    <xf numFmtId="0" fontId="34" fillId="5" borderId="29" xfId="0" applyFont="1" applyFill="1" applyBorder="1" applyAlignment="1" applyProtection="1">
      <alignment horizontal="center"/>
    </xf>
    <xf numFmtId="0" fontId="33" fillId="5" borderId="36" xfId="0" applyFont="1" applyFill="1" applyBorder="1" applyProtection="1"/>
    <xf numFmtId="0" fontId="34" fillId="5" borderId="37" xfId="0" applyFont="1" applyFill="1" applyBorder="1" applyProtection="1"/>
    <xf numFmtId="4" fontId="27" fillId="5" borderId="37" xfId="0" applyNumberFormat="1" applyFont="1" applyFill="1" applyBorder="1" applyProtection="1"/>
    <xf numFmtId="0" fontId="33" fillId="5" borderId="30" xfId="0" applyFont="1" applyFill="1" applyBorder="1" applyProtection="1"/>
    <xf numFmtId="0" fontId="33" fillId="5" borderId="5" xfId="0" applyFont="1" applyFill="1" applyBorder="1" applyProtection="1"/>
    <xf numFmtId="4" fontId="20" fillId="5" borderId="28" xfId="0" applyNumberFormat="1" applyFont="1" applyFill="1" applyBorder="1" applyProtection="1"/>
    <xf numFmtId="4" fontId="20" fillId="5" borderId="17" xfId="0" applyNumberFormat="1" applyFont="1" applyFill="1" applyBorder="1" applyProtection="1"/>
    <xf numFmtId="0" fontId="27" fillId="5" borderId="29" xfId="0" applyFont="1" applyFill="1" applyBorder="1" applyProtection="1"/>
    <xf numFmtId="0" fontId="21" fillId="5" borderId="30" xfId="0" applyFont="1" applyFill="1" applyBorder="1" applyProtection="1"/>
    <xf numFmtId="0" fontId="27" fillId="5" borderId="31" xfId="0" applyFont="1" applyFill="1" applyBorder="1" applyProtection="1"/>
    <xf numFmtId="0" fontId="20" fillId="5" borderId="28" xfId="0" applyFont="1" applyFill="1" applyBorder="1" applyProtection="1"/>
    <xf numFmtId="0" fontId="20" fillId="5" borderId="17" xfId="0" applyFont="1" applyFill="1" applyBorder="1" applyProtection="1"/>
    <xf numFmtId="0" fontId="20" fillId="5" borderId="36" xfId="0" applyFont="1" applyFill="1" applyBorder="1" applyProtection="1"/>
    <xf numFmtId="0" fontId="27" fillId="5" borderId="37" xfId="0" applyFont="1" applyFill="1" applyBorder="1" applyProtection="1"/>
    <xf numFmtId="0" fontId="21" fillId="5" borderId="36" xfId="0" applyFont="1" applyFill="1" applyBorder="1" applyProtection="1"/>
    <xf numFmtId="0" fontId="20" fillId="5" borderId="30" xfId="0" applyFont="1" applyFill="1" applyBorder="1" applyProtection="1"/>
    <xf numFmtId="0" fontId="20" fillId="5" borderId="5" xfId="0" applyFont="1" applyFill="1" applyBorder="1" applyProtection="1"/>
    <xf numFmtId="164" fontId="27" fillId="5" borderId="37" xfId="0" applyNumberFormat="1" applyFont="1" applyFill="1" applyBorder="1" applyProtection="1"/>
    <xf numFmtId="4" fontId="21" fillId="5" borderId="36" xfId="0" applyNumberFormat="1" applyFont="1" applyFill="1" applyBorder="1" applyProtection="1"/>
    <xf numFmtId="164" fontId="21" fillId="5" borderId="36" xfId="0" applyNumberFormat="1" applyFont="1" applyFill="1" applyBorder="1" applyProtection="1"/>
    <xf numFmtId="0" fontId="20" fillId="5" borderId="28" xfId="0" applyFont="1" applyFill="1" applyBorder="1" applyAlignment="1" applyProtection="1">
      <alignment horizontal="left" vertical="top"/>
    </xf>
    <xf numFmtId="0" fontId="20" fillId="5" borderId="17" xfId="0" applyFont="1" applyFill="1" applyBorder="1" applyAlignment="1" applyProtection="1">
      <alignment horizontal="left" vertical="top"/>
    </xf>
    <xf numFmtId="0" fontId="21" fillId="5" borderId="17" xfId="0" applyFont="1" applyFill="1" applyBorder="1" applyAlignment="1" applyProtection="1">
      <alignment wrapText="1"/>
    </xf>
    <xf numFmtId="0" fontId="30" fillId="5" borderId="17" xfId="0" applyFont="1" applyFill="1" applyBorder="1" applyAlignment="1" applyProtection="1">
      <alignment horizontal="left"/>
    </xf>
    <xf numFmtId="0" fontId="27" fillId="5" borderId="29" xfId="0" applyFont="1" applyFill="1" applyBorder="1" applyAlignment="1" applyProtection="1"/>
    <xf numFmtId="0" fontId="26" fillId="5" borderId="36" xfId="0" applyFont="1" applyFill="1" applyBorder="1" applyProtection="1"/>
    <xf numFmtId="0" fontId="27" fillId="5" borderId="37" xfId="0" applyFont="1" applyFill="1" applyBorder="1" applyAlignment="1" applyProtection="1"/>
    <xf numFmtId="0" fontId="30" fillId="5" borderId="37" xfId="0" applyFont="1" applyFill="1" applyBorder="1" applyAlignment="1" applyProtection="1"/>
    <xf numFmtId="0" fontId="27" fillId="5" borderId="5" xfId="0" applyFont="1" applyFill="1" applyBorder="1" applyAlignment="1" applyProtection="1">
      <alignment horizontal="left"/>
    </xf>
    <xf numFmtId="0" fontId="27" fillId="5" borderId="31" xfId="0" applyFont="1" applyFill="1" applyBorder="1" applyAlignment="1" applyProtection="1"/>
    <xf numFmtId="0" fontId="40" fillId="5" borderId="29" xfId="0" applyFont="1" applyFill="1" applyBorder="1" applyProtection="1"/>
    <xf numFmtId="0" fontId="40" fillId="5" borderId="37" xfId="0" applyFont="1" applyFill="1" applyBorder="1" applyProtection="1"/>
    <xf numFmtId="3" fontId="20" fillId="5" borderId="31" xfId="0" applyNumberFormat="1" applyFont="1" applyFill="1" applyBorder="1" applyAlignment="1" applyProtection="1">
      <alignment horizontal="center"/>
    </xf>
    <xf numFmtId="0" fontId="21" fillId="5" borderId="37" xfId="0" applyFont="1" applyFill="1" applyBorder="1" applyProtection="1"/>
    <xf numFmtId="9" fontId="20" fillId="5" borderId="37" xfId="3" applyFont="1" applyFill="1" applyBorder="1" applyAlignment="1" applyProtection="1">
      <alignment horizontal="center"/>
    </xf>
    <xf numFmtId="166" fontId="20" fillId="5" borderId="37" xfId="3" applyNumberFormat="1" applyFont="1" applyFill="1" applyBorder="1" applyAlignment="1" applyProtection="1">
      <alignment horizontal="center"/>
    </xf>
    <xf numFmtId="3" fontId="20" fillId="5" borderId="37" xfId="0" applyNumberFormat="1" applyFont="1" applyFill="1" applyBorder="1" applyAlignment="1" applyProtection="1">
      <alignment horizontal="center"/>
    </xf>
    <xf numFmtId="3" fontId="20" fillId="0" borderId="0" xfId="0" applyNumberFormat="1" applyFont="1" applyFill="1" applyBorder="1" applyAlignment="1" applyProtection="1">
      <alignment horizontal="center" vertical="center"/>
    </xf>
    <xf numFmtId="164" fontId="21" fillId="5" borderId="38" xfId="0" applyNumberFormat="1" applyFont="1" applyFill="1" applyBorder="1" applyAlignment="1" applyProtection="1">
      <alignment horizontal="center"/>
    </xf>
    <xf numFmtId="3" fontId="21" fillId="5" borderId="15" xfId="0" applyNumberFormat="1" applyFont="1" applyFill="1" applyBorder="1" applyAlignment="1" applyProtection="1">
      <alignment horizontal="center"/>
    </xf>
    <xf numFmtId="166" fontId="21" fillId="5" borderId="38" xfId="0" applyNumberFormat="1" applyFont="1" applyFill="1" applyBorder="1" applyAlignment="1" applyProtection="1">
      <alignment horizontal="center"/>
    </xf>
    <xf numFmtId="2" fontId="21" fillId="5" borderId="15" xfId="0" applyNumberFormat="1" applyFont="1" applyFill="1" applyBorder="1" applyAlignment="1" applyProtection="1">
      <alignment horizontal="center"/>
    </xf>
    <xf numFmtId="1" fontId="21" fillId="5" borderId="38" xfId="0" applyNumberFormat="1" applyFont="1" applyFill="1" applyBorder="1" applyAlignment="1" applyProtection="1">
      <alignment horizontal="center"/>
    </xf>
    <xf numFmtId="4" fontId="39" fillId="5" borderId="2" xfId="0" applyNumberFormat="1" applyFont="1" applyFill="1" applyBorder="1" applyAlignment="1" applyProtection="1">
      <alignment horizontal="center"/>
    </xf>
    <xf numFmtId="175" fontId="21" fillId="5" borderId="27" xfId="3" applyNumberFormat="1" applyFont="1" applyFill="1" applyBorder="1" applyAlignment="1" applyProtection="1">
      <alignment horizontal="center"/>
    </xf>
    <xf numFmtId="174" fontId="21" fillId="5" borderId="27" xfId="0" applyNumberFormat="1" applyFont="1" applyFill="1" applyBorder="1" applyAlignment="1" applyProtection="1">
      <alignment horizontal="center"/>
    </xf>
    <xf numFmtId="0" fontId="20" fillId="5" borderId="12" xfId="0" applyFont="1" applyFill="1" applyBorder="1" applyAlignment="1" applyProtection="1">
      <alignment horizontal="center"/>
    </xf>
    <xf numFmtId="4" fontId="20" fillId="6" borderId="38" xfId="0" applyNumberFormat="1" applyFont="1" applyFill="1" applyBorder="1" applyAlignment="1" applyProtection="1">
      <alignment horizontal="center"/>
    </xf>
    <xf numFmtId="164" fontId="21" fillId="5" borderId="27" xfId="0" applyNumberFormat="1" applyFont="1" applyFill="1" applyBorder="1" applyAlignment="1" applyProtection="1">
      <alignment horizontal="center"/>
    </xf>
    <xf numFmtId="2" fontId="20" fillId="6" borderId="13" xfId="0" applyNumberFormat="1" applyFont="1" applyFill="1" applyBorder="1" applyAlignment="1" applyProtection="1">
      <alignment horizontal="center"/>
    </xf>
    <xf numFmtId="2" fontId="20" fillId="6" borderId="12" xfId="0" applyNumberFormat="1" applyFont="1" applyFill="1" applyBorder="1" applyAlignment="1" applyProtection="1">
      <alignment horizontal="center"/>
    </xf>
    <xf numFmtId="3" fontId="20" fillId="6" borderId="38" xfId="0" applyNumberFormat="1" applyFont="1" applyFill="1" applyBorder="1" applyAlignment="1" applyProtection="1">
      <alignment horizontal="center"/>
    </xf>
    <xf numFmtId="166" fontId="37" fillId="5" borderId="13" xfId="0" applyNumberFormat="1" applyFont="1" applyFill="1" applyBorder="1" applyAlignment="1" applyProtection="1">
      <alignment horizontal="center"/>
    </xf>
    <xf numFmtId="3" fontId="20" fillId="6" borderId="15" xfId="0" applyNumberFormat="1" applyFont="1" applyFill="1" applyBorder="1" applyAlignment="1" applyProtection="1">
      <alignment horizontal="center"/>
    </xf>
    <xf numFmtId="43" fontId="21" fillId="5" borderId="27" xfId="4" applyFont="1" applyFill="1" applyBorder="1" applyAlignment="1" applyProtection="1"/>
    <xf numFmtId="43" fontId="21" fillId="5" borderId="23" xfId="4" applyFont="1" applyFill="1" applyBorder="1" applyAlignment="1" applyProtection="1"/>
    <xf numFmtId="2" fontId="21" fillId="5" borderId="27" xfId="0" applyNumberFormat="1" applyFont="1" applyFill="1" applyBorder="1" applyAlignment="1" applyProtection="1"/>
    <xf numFmtId="2" fontId="21" fillId="5" borderId="27" xfId="0" applyNumberFormat="1" applyFont="1" applyFill="1" applyBorder="1" applyProtection="1"/>
    <xf numFmtId="2" fontId="21" fillId="5" borderId="23" xfId="0" applyNumberFormat="1" applyFont="1" applyFill="1" applyBorder="1" applyAlignment="1" applyProtection="1"/>
    <xf numFmtId="166" fontId="40" fillId="5" borderId="27" xfId="0" applyNumberFormat="1" applyFont="1" applyFill="1" applyBorder="1" applyAlignment="1" applyProtection="1">
      <alignment horizontal="center"/>
    </xf>
    <xf numFmtId="9" fontId="20" fillId="5" borderId="27" xfId="3" applyFont="1" applyFill="1" applyBorder="1" applyAlignment="1" applyProtection="1">
      <alignment horizontal="center"/>
    </xf>
    <xf numFmtId="172" fontId="21" fillId="5" borderId="12" xfId="0" applyNumberFormat="1" applyFont="1" applyFill="1" applyBorder="1" applyAlignment="1" applyProtection="1">
      <alignment horizontal="center"/>
    </xf>
    <xf numFmtId="172" fontId="21" fillId="5" borderId="38" xfId="0" applyNumberFormat="1" applyFont="1" applyFill="1" applyBorder="1" applyAlignment="1" applyProtection="1">
      <alignment horizontal="center"/>
    </xf>
    <xf numFmtId="3" fontId="20" fillId="6" borderId="27" xfId="0" applyNumberFormat="1" applyFont="1" applyFill="1" applyBorder="1" applyAlignment="1" applyProtection="1">
      <alignment horizontal="center"/>
    </xf>
    <xf numFmtId="4" fontId="20" fillId="6" borderId="39" xfId="0" applyNumberFormat="1" applyFont="1" applyFill="1" applyBorder="1" applyAlignment="1" applyProtection="1">
      <alignment horizontal="center"/>
    </xf>
    <xf numFmtId="0" fontId="20" fillId="9" borderId="27" xfId="0" applyFont="1" applyFill="1" applyBorder="1" applyAlignment="1" applyProtection="1">
      <alignment horizontal="center" vertical="center" wrapText="1"/>
    </xf>
    <xf numFmtId="4" fontId="20" fillId="9" borderId="38" xfId="0" applyNumberFormat="1" applyFont="1" applyFill="1" applyBorder="1" applyAlignment="1" applyProtection="1">
      <alignment horizontal="center"/>
    </xf>
    <xf numFmtId="2" fontId="20" fillId="9" borderId="13" xfId="0" applyNumberFormat="1" applyFont="1" applyFill="1" applyBorder="1" applyAlignment="1" applyProtection="1">
      <alignment horizontal="center"/>
    </xf>
    <xf numFmtId="2" fontId="20" fillId="9" borderId="12" xfId="0" applyNumberFormat="1" applyFont="1" applyFill="1" applyBorder="1" applyAlignment="1" applyProtection="1">
      <alignment horizontal="center"/>
    </xf>
    <xf numFmtId="3" fontId="20" fillId="9" borderId="38" xfId="0" applyNumberFormat="1" applyFont="1" applyFill="1" applyBorder="1" applyAlignment="1" applyProtection="1">
      <alignment horizontal="center"/>
    </xf>
    <xf numFmtId="3" fontId="20" fillId="9" borderId="15" xfId="0" applyNumberFormat="1" applyFont="1" applyFill="1" applyBorder="1" applyAlignment="1" applyProtection="1">
      <alignment horizontal="center"/>
    </xf>
    <xf numFmtId="0" fontId="20" fillId="6" borderId="27" xfId="0" applyFont="1" applyFill="1" applyBorder="1" applyAlignment="1" applyProtection="1">
      <alignment horizontal="center" vertical="center" wrapText="1"/>
    </xf>
    <xf numFmtId="0" fontId="20" fillId="6" borderId="15" xfId="0" applyFont="1" applyFill="1" applyBorder="1" applyAlignment="1" applyProtection="1">
      <alignment horizontal="center"/>
    </xf>
    <xf numFmtId="4" fontId="20" fillId="6" borderId="27" xfId="0" applyNumberFormat="1" applyFont="1" applyFill="1" applyBorder="1" applyAlignment="1" applyProtection="1">
      <alignment horizontal="center" vertical="center"/>
    </xf>
    <xf numFmtId="4" fontId="20" fillId="6" borderId="27" xfId="0" applyNumberFormat="1" applyFont="1" applyFill="1" applyBorder="1" applyAlignment="1" applyProtection="1">
      <alignment horizontal="center"/>
    </xf>
    <xf numFmtId="0" fontId="20" fillId="9" borderId="22" xfId="0" applyFont="1" applyFill="1" applyBorder="1" applyAlignment="1" applyProtection="1">
      <alignment vertical="center"/>
    </xf>
    <xf numFmtId="0" fontId="21" fillId="9" borderId="35" xfId="0" applyFont="1" applyFill="1" applyBorder="1" applyAlignment="1" applyProtection="1">
      <alignment horizontal="right" vertical="center"/>
    </xf>
    <xf numFmtId="0" fontId="20" fillId="9" borderId="27" xfId="0" applyFont="1" applyFill="1" applyBorder="1" applyAlignment="1" applyProtection="1">
      <alignment horizontal="center" vertical="center"/>
    </xf>
    <xf numFmtId="0" fontId="20" fillId="9" borderId="34" xfId="0" applyFont="1" applyFill="1" applyBorder="1" applyAlignment="1" applyProtection="1">
      <alignment vertical="center"/>
    </xf>
    <xf numFmtId="4" fontId="20" fillId="9" borderId="5" xfId="0" applyNumberFormat="1" applyFont="1" applyFill="1" applyBorder="1" applyProtection="1"/>
    <xf numFmtId="4" fontId="30" fillId="9" borderId="5" xfId="0" applyNumberFormat="1" applyFont="1" applyFill="1" applyBorder="1" applyProtection="1"/>
    <xf numFmtId="4" fontId="30" fillId="9" borderId="31" xfId="0" applyNumberFormat="1" applyFont="1" applyFill="1" applyBorder="1" applyProtection="1"/>
    <xf numFmtId="0" fontId="20" fillId="9" borderId="0" xfId="0" applyFont="1" applyFill="1" applyBorder="1" applyProtection="1"/>
    <xf numFmtId="0" fontId="30" fillId="9" borderId="0" xfId="0" applyFont="1" applyFill="1" applyBorder="1" applyProtection="1"/>
    <xf numFmtId="0" fontId="30" fillId="9" borderId="37" xfId="0" applyFont="1" applyFill="1" applyBorder="1" applyProtection="1"/>
    <xf numFmtId="0" fontId="20" fillId="9" borderId="5" xfId="0" applyFont="1" applyFill="1" applyBorder="1" applyProtection="1"/>
    <xf numFmtId="0" fontId="30" fillId="9" borderId="5" xfId="0" applyFont="1" applyFill="1" applyBorder="1" applyProtection="1"/>
    <xf numFmtId="0" fontId="30" fillId="9" borderId="31" xfId="0" applyFont="1" applyFill="1" applyBorder="1" applyProtection="1"/>
    <xf numFmtId="0" fontId="20" fillId="9" borderId="17" xfId="0" applyFont="1" applyFill="1" applyBorder="1" applyProtection="1"/>
    <xf numFmtId="0" fontId="30" fillId="9" borderId="17" xfId="0" applyFont="1" applyFill="1" applyBorder="1" applyProtection="1"/>
    <xf numFmtId="0" fontId="30" fillId="9" borderId="29" xfId="0" applyFont="1" applyFill="1" applyBorder="1" applyProtection="1"/>
    <xf numFmtId="0" fontId="21" fillId="9" borderId="0" xfId="0" applyFont="1" applyFill="1" applyBorder="1" applyProtection="1"/>
    <xf numFmtId="0" fontId="27" fillId="9" borderId="0" xfId="0" applyFont="1" applyFill="1" applyBorder="1" applyAlignment="1" applyProtection="1">
      <alignment horizontal="left"/>
    </xf>
    <xf numFmtId="3" fontId="20" fillId="9" borderId="37" xfId="0" applyNumberFormat="1" applyFont="1" applyFill="1" applyBorder="1" applyAlignment="1" applyProtection="1">
      <alignment horizontal="center"/>
    </xf>
    <xf numFmtId="0" fontId="21" fillId="9" borderId="5" xfId="0" applyFont="1" applyFill="1" applyBorder="1" applyProtection="1"/>
    <xf numFmtId="0" fontId="27" fillId="9" borderId="5" xfId="0" applyFont="1" applyFill="1" applyBorder="1" applyAlignment="1" applyProtection="1">
      <alignment horizontal="left"/>
    </xf>
    <xf numFmtId="4" fontId="20" fillId="9" borderId="31" xfId="0" applyNumberFormat="1" applyFont="1" applyFill="1" applyBorder="1" applyAlignment="1" applyProtection="1">
      <alignment horizontal="center"/>
    </xf>
    <xf numFmtId="3" fontId="20" fillId="9" borderId="27" xfId="0" applyNumberFormat="1" applyFont="1" applyFill="1" applyBorder="1" applyAlignment="1" applyProtection="1">
      <alignment horizontal="center"/>
    </xf>
    <xf numFmtId="0" fontId="21" fillId="5" borderId="36" xfId="0" applyFont="1" applyFill="1" applyBorder="1" applyAlignment="1">
      <alignment vertical="center"/>
    </xf>
    <xf numFmtId="164" fontId="21" fillId="5" borderId="37" xfId="0" applyNumberFormat="1" applyFont="1" applyFill="1" applyBorder="1" applyAlignment="1">
      <alignment vertical="center" wrapText="1"/>
    </xf>
    <xf numFmtId="0" fontId="21" fillId="0" borderId="0" xfId="0" applyFont="1" applyBorder="1" applyAlignment="1">
      <alignment vertical="center"/>
    </xf>
    <xf numFmtId="0" fontId="21" fillId="5" borderId="36" xfId="0" applyFont="1" applyFill="1" applyBorder="1" applyAlignment="1">
      <alignment horizontal="left" vertical="center"/>
    </xf>
    <xf numFmtId="169" fontId="21" fillId="5" borderId="37" xfId="0" applyNumberFormat="1" applyFont="1" applyFill="1" applyBorder="1" applyAlignment="1">
      <alignment horizontal="center" vertical="center"/>
    </xf>
    <xf numFmtId="0" fontId="21" fillId="9" borderId="36" xfId="0" applyFont="1" applyFill="1" applyBorder="1" applyAlignment="1">
      <alignment vertical="center"/>
    </xf>
    <xf numFmtId="0" fontId="21" fillId="9" borderId="0" xfId="0" applyFont="1" applyFill="1" applyBorder="1" applyAlignment="1" applyProtection="1">
      <alignment vertical="center"/>
      <protection hidden="1"/>
    </xf>
    <xf numFmtId="0" fontId="21" fillId="9" borderId="0" xfId="0" applyFont="1" applyFill="1" applyBorder="1" applyAlignment="1" applyProtection="1">
      <alignment vertical="center" wrapText="1"/>
      <protection hidden="1"/>
    </xf>
    <xf numFmtId="0" fontId="21" fillId="9" borderId="0" xfId="0" applyFont="1" applyFill="1" applyBorder="1" applyAlignment="1">
      <alignment vertical="center"/>
    </xf>
    <xf numFmtId="168" fontId="21" fillId="9" borderId="0" xfId="0" applyNumberFormat="1" applyFont="1" applyFill="1" applyBorder="1" applyAlignment="1">
      <alignment vertical="center"/>
    </xf>
    <xf numFmtId="169" fontId="21" fillId="9" borderId="0" xfId="0" applyNumberFormat="1" applyFont="1" applyFill="1" applyBorder="1" applyAlignment="1">
      <alignment horizontal="center" vertical="center"/>
    </xf>
    <xf numFmtId="171" fontId="21" fillId="9" borderId="0" xfId="0" applyNumberFormat="1" applyFont="1" applyFill="1" applyBorder="1" applyAlignment="1">
      <alignment horizontal="center" vertical="center"/>
    </xf>
    <xf numFmtId="168" fontId="21" fillId="9" borderId="0" xfId="0" applyNumberFormat="1" applyFont="1" applyFill="1" applyBorder="1" applyAlignment="1">
      <alignment horizontal="center" vertical="center"/>
    </xf>
    <xf numFmtId="0" fontId="21" fillId="9" borderId="0" xfId="0" applyFont="1" applyFill="1" applyBorder="1" applyAlignment="1">
      <alignment horizontal="left" vertical="center"/>
    </xf>
    <xf numFmtId="0" fontId="21" fillId="9" borderId="0" xfId="0" applyNumberFormat="1" applyFont="1" applyFill="1" applyBorder="1" applyAlignment="1">
      <alignment horizontal="left" vertical="center"/>
    </xf>
    <xf numFmtId="164" fontId="21" fillId="9" borderId="37" xfId="0" applyNumberFormat="1" applyFont="1" applyFill="1" applyBorder="1" applyAlignment="1">
      <alignment vertical="center" wrapText="1"/>
    </xf>
    <xf numFmtId="167" fontId="21" fillId="9" borderId="0" xfId="0" applyNumberFormat="1" applyFont="1" applyFill="1" applyBorder="1" applyAlignment="1">
      <alignment horizontal="center" vertical="center"/>
    </xf>
    <xf numFmtId="0" fontId="21" fillId="9" borderId="0" xfId="0" applyFont="1" applyFill="1" applyBorder="1" applyAlignment="1">
      <alignment horizontal="center" vertical="center"/>
    </xf>
    <xf numFmtId="169" fontId="21" fillId="9" borderId="37" xfId="0" applyNumberFormat="1" applyFont="1" applyFill="1" applyBorder="1" applyAlignment="1">
      <alignment horizontal="center" vertical="center"/>
    </xf>
    <xf numFmtId="167" fontId="21" fillId="9" borderId="30" xfId="0" applyNumberFormat="1" applyFont="1" applyFill="1" applyBorder="1" applyAlignment="1">
      <alignment horizontal="left" vertical="center"/>
    </xf>
    <xf numFmtId="167" fontId="21" fillId="9" borderId="5" xfId="0" applyNumberFormat="1" applyFont="1" applyFill="1" applyBorder="1" applyAlignment="1">
      <alignment horizontal="center" vertical="center"/>
    </xf>
    <xf numFmtId="0" fontId="21" fillId="9" borderId="5" xfId="0" applyFont="1" applyFill="1" applyBorder="1" applyAlignment="1">
      <alignment horizontal="center" vertical="center"/>
    </xf>
    <xf numFmtId="169" fontId="21" fillId="9" borderId="31" xfId="0" applyNumberFormat="1" applyFont="1" applyFill="1" applyBorder="1" applyAlignment="1">
      <alignment horizontal="center" vertical="center"/>
    </xf>
    <xf numFmtId="0" fontId="21" fillId="9" borderId="0" xfId="0" quotePrefix="1" applyFont="1" applyFill="1" applyBorder="1" applyAlignment="1" applyProtection="1">
      <alignment vertical="center"/>
      <protection hidden="1"/>
    </xf>
    <xf numFmtId="0" fontId="21" fillId="9" borderId="0" xfId="0" applyFont="1" applyFill="1" applyBorder="1" applyAlignment="1">
      <alignment vertical="center" wrapText="1"/>
    </xf>
    <xf numFmtId="0" fontId="20" fillId="6" borderId="36" xfId="0" applyFont="1" applyFill="1" applyBorder="1" applyAlignment="1">
      <alignment vertical="center"/>
    </xf>
    <xf numFmtId="0" fontId="21" fillId="6" borderId="0" xfId="0" quotePrefix="1" applyFont="1" applyFill="1" applyBorder="1" applyAlignment="1" applyProtection="1">
      <alignment vertical="center"/>
      <protection hidden="1"/>
    </xf>
    <xf numFmtId="0" fontId="21" fillId="6" borderId="0" xfId="0" applyFont="1" applyFill="1" applyBorder="1" applyAlignment="1" applyProtection="1">
      <alignment vertical="center" wrapText="1"/>
      <protection hidden="1"/>
    </xf>
    <xf numFmtId="0" fontId="21" fillId="6" borderId="0" xfId="0" applyFont="1" applyFill="1" applyBorder="1" applyAlignment="1">
      <alignment vertical="center"/>
    </xf>
    <xf numFmtId="168" fontId="21" fillId="6" borderId="0" xfId="0" applyNumberFormat="1" applyFont="1" applyFill="1" applyBorder="1" applyAlignment="1">
      <alignment vertical="center"/>
    </xf>
    <xf numFmtId="169" fontId="21" fillId="6" borderId="0" xfId="0" applyNumberFormat="1" applyFont="1" applyFill="1" applyBorder="1" applyAlignment="1">
      <alignment horizontal="center" vertical="center"/>
    </xf>
    <xf numFmtId="171" fontId="21" fillId="6" borderId="0" xfId="0" applyNumberFormat="1" applyFont="1" applyFill="1" applyBorder="1" applyAlignment="1">
      <alignment horizontal="center" vertical="center"/>
    </xf>
    <xf numFmtId="168" fontId="21" fillId="6" borderId="0" xfId="0" applyNumberFormat="1" applyFont="1" applyFill="1" applyBorder="1" applyAlignment="1">
      <alignment horizontal="center" vertical="center"/>
    </xf>
    <xf numFmtId="0" fontId="21" fillId="6" borderId="0" xfId="0" applyNumberFormat="1" applyFont="1" applyFill="1" applyBorder="1" applyAlignment="1">
      <alignment horizontal="left" vertical="center"/>
    </xf>
    <xf numFmtId="0" fontId="21" fillId="6" borderId="37" xfId="0" applyFont="1" applyFill="1" applyBorder="1" applyAlignment="1">
      <alignment vertical="center" wrapText="1"/>
    </xf>
    <xf numFmtId="0" fontId="20" fillId="6" borderId="34" xfId="0" applyFont="1" applyFill="1" applyBorder="1" applyAlignment="1">
      <alignment vertical="center"/>
    </xf>
    <xf numFmtId="0" fontId="21" fillId="6" borderId="22" xfId="0" quotePrefix="1" applyFont="1" applyFill="1" applyBorder="1" applyAlignment="1" applyProtection="1">
      <alignment vertical="center"/>
      <protection hidden="1"/>
    </xf>
    <xf numFmtId="0" fontId="21" fillId="6" borderId="22" xfId="0" applyFont="1" applyFill="1" applyBorder="1" applyAlignment="1" applyProtection="1">
      <alignment vertical="center" wrapText="1"/>
      <protection hidden="1"/>
    </xf>
    <xf numFmtId="0" fontId="21" fillId="6" borderId="22" xfId="0" applyFont="1" applyFill="1" applyBorder="1" applyAlignment="1">
      <alignment vertical="center"/>
    </xf>
    <xf numFmtId="168" fontId="21" fillId="6" borderId="22" xfId="0" applyNumberFormat="1" applyFont="1" applyFill="1" applyBorder="1" applyAlignment="1">
      <alignment vertical="center"/>
    </xf>
    <xf numFmtId="169" fontId="21" fillId="6" borderId="22" xfId="0" applyNumberFormat="1" applyFont="1" applyFill="1" applyBorder="1" applyAlignment="1">
      <alignment horizontal="center" vertical="center"/>
    </xf>
    <xf numFmtId="171" fontId="21" fillId="6" borderId="22" xfId="0" applyNumberFormat="1" applyFont="1" applyFill="1" applyBorder="1" applyAlignment="1">
      <alignment horizontal="center" vertical="center"/>
    </xf>
    <xf numFmtId="168" fontId="21" fillId="6" borderId="22" xfId="0" applyNumberFormat="1" applyFont="1" applyFill="1" applyBorder="1" applyAlignment="1">
      <alignment horizontal="center" vertical="center"/>
    </xf>
    <xf numFmtId="0" fontId="21" fillId="6" borderId="22" xfId="0" applyNumberFormat="1" applyFont="1" applyFill="1" applyBorder="1" applyAlignment="1">
      <alignment horizontal="left" vertical="center"/>
    </xf>
    <xf numFmtId="0" fontId="21" fillId="6" borderId="35" xfId="0" applyFont="1" applyFill="1" applyBorder="1" applyAlignment="1">
      <alignment vertical="center" wrapText="1"/>
    </xf>
    <xf numFmtId="0" fontId="21" fillId="6" borderId="22" xfId="0" applyFont="1" applyFill="1" applyBorder="1" applyAlignment="1">
      <alignment horizontal="left" vertical="center"/>
    </xf>
    <xf numFmtId="0" fontId="21" fillId="6" borderId="22" xfId="0" applyFont="1" applyFill="1" applyBorder="1" applyAlignment="1" applyProtection="1">
      <alignment vertical="center"/>
      <protection hidden="1"/>
    </xf>
    <xf numFmtId="0" fontId="21" fillId="6" borderId="22" xfId="0" quotePrefix="1" applyFont="1" applyFill="1" applyBorder="1" applyAlignment="1" applyProtection="1">
      <alignment vertical="center" wrapText="1"/>
      <protection hidden="1"/>
    </xf>
    <xf numFmtId="164" fontId="21" fillId="6" borderId="35" xfId="0" applyNumberFormat="1" applyFont="1" applyFill="1" applyBorder="1" applyAlignment="1">
      <alignment vertical="center" wrapText="1"/>
    </xf>
    <xf numFmtId="0" fontId="27" fillId="6" borderId="35" xfId="0" applyFont="1" applyFill="1" applyBorder="1" applyAlignment="1">
      <alignment vertical="center" wrapText="1"/>
    </xf>
    <xf numFmtId="0" fontId="27" fillId="5" borderId="28" xfId="0" applyFont="1" applyFill="1" applyBorder="1" applyAlignment="1">
      <alignment vertical="center"/>
    </xf>
    <xf numFmtId="0" fontId="21" fillId="5" borderId="17" xfId="0" applyFont="1" applyFill="1" applyBorder="1" applyAlignment="1">
      <alignment vertical="center"/>
    </xf>
    <xf numFmtId="1" fontId="21" fillId="5" borderId="17" xfId="0" applyNumberFormat="1" applyFont="1" applyFill="1" applyBorder="1" applyAlignment="1">
      <alignment vertical="center"/>
    </xf>
    <xf numFmtId="165" fontId="21" fillId="5" borderId="17" xfId="0" applyNumberFormat="1" applyFont="1" applyFill="1" applyBorder="1" applyAlignment="1">
      <alignment vertical="center"/>
    </xf>
    <xf numFmtId="164" fontId="21" fillId="5" borderId="17" xfId="0" applyNumberFormat="1" applyFont="1" applyFill="1" applyBorder="1" applyAlignment="1">
      <alignment vertical="center"/>
    </xf>
    <xf numFmtId="0" fontId="21" fillId="5" borderId="29" xfId="0" applyFont="1" applyFill="1" applyBorder="1" applyAlignment="1">
      <alignment vertical="center"/>
    </xf>
    <xf numFmtId="0" fontId="27" fillId="5" borderId="36" xfId="0" applyFont="1" applyFill="1" applyBorder="1" applyAlignment="1">
      <alignment vertical="center"/>
    </xf>
    <xf numFmtId="0" fontId="21" fillId="5" borderId="37" xfId="0" applyFont="1" applyFill="1" applyBorder="1" applyAlignment="1">
      <alignment vertical="center"/>
    </xf>
    <xf numFmtId="0" fontId="27" fillId="5" borderId="30" xfId="0" applyFont="1" applyFill="1" applyBorder="1" applyAlignment="1">
      <alignment vertical="center"/>
    </xf>
    <xf numFmtId="0" fontId="21" fillId="5" borderId="5" xfId="0" applyFont="1" applyFill="1" applyBorder="1" applyAlignment="1">
      <alignment vertical="center"/>
    </xf>
    <xf numFmtId="1" fontId="21" fillId="5" borderId="5" xfId="0" applyNumberFormat="1" applyFont="1" applyFill="1" applyBorder="1" applyAlignment="1">
      <alignment vertical="center"/>
    </xf>
    <xf numFmtId="165" fontId="21" fillId="5" borderId="5" xfId="0" applyNumberFormat="1" applyFont="1" applyFill="1" applyBorder="1" applyAlignment="1">
      <alignment vertical="center"/>
    </xf>
    <xf numFmtId="164" fontId="21" fillId="5" borderId="5" xfId="0" applyNumberFormat="1" applyFont="1" applyFill="1" applyBorder="1" applyAlignment="1">
      <alignment vertical="center"/>
    </xf>
    <xf numFmtId="0" fontId="21" fillId="5" borderId="31" xfId="0" applyFont="1" applyFill="1" applyBorder="1" applyAlignment="1">
      <alignment vertical="center"/>
    </xf>
    <xf numFmtId="0" fontId="20" fillId="0" borderId="23" xfId="0" applyFont="1" applyFill="1" applyBorder="1" applyAlignment="1">
      <alignment horizontal="center" vertical="center" wrapText="1"/>
    </xf>
    <xf numFmtId="164" fontId="20" fillId="0" borderId="23" xfId="0" applyNumberFormat="1" applyFont="1" applyFill="1" applyBorder="1" applyAlignment="1">
      <alignment horizontal="center" vertical="center" wrapText="1"/>
    </xf>
    <xf numFmtId="1" fontId="20" fillId="0" borderId="23" xfId="0" applyNumberFormat="1" applyFont="1" applyFill="1" applyBorder="1" applyAlignment="1">
      <alignment horizontal="center" vertical="center" wrapText="1"/>
    </xf>
    <xf numFmtId="0" fontId="21" fillId="0" borderId="24" xfId="0" applyFont="1" applyFill="1" applyBorder="1" applyAlignment="1">
      <alignment vertical="center"/>
    </xf>
    <xf numFmtId="0" fontId="21" fillId="0" borderId="24" xfId="0" applyFont="1" applyFill="1" applyBorder="1" applyAlignment="1">
      <alignment horizontal="center" vertical="center"/>
    </xf>
    <xf numFmtId="0" fontId="21" fillId="0" borderId="24" xfId="0" applyFont="1" applyFill="1" applyBorder="1" applyAlignment="1">
      <alignment horizontal="center" vertical="center" wrapText="1"/>
    </xf>
    <xf numFmtId="1" fontId="21" fillId="0" borderId="24" xfId="0" applyNumberFormat="1" applyFont="1" applyFill="1" applyBorder="1" applyAlignment="1">
      <alignment horizontal="center" vertical="center" wrapText="1"/>
    </xf>
    <xf numFmtId="0" fontId="20" fillId="0" borderId="28" xfId="0" applyFont="1" applyFill="1" applyBorder="1" applyAlignment="1">
      <alignment horizontal="center" vertical="center" wrapText="1"/>
    </xf>
    <xf numFmtId="0" fontId="21" fillId="0" borderId="40" xfId="0" applyFont="1" applyFill="1" applyBorder="1" applyAlignment="1">
      <alignment horizontal="center" vertical="center" wrapText="1"/>
    </xf>
    <xf numFmtId="0" fontId="21" fillId="0" borderId="0" xfId="0" applyFont="1" applyBorder="1"/>
    <xf numFmtId="165" fontId="21" fillId="5" borderId="0" xfId="0" applyNumberFormat="1" applyFont="1" applyFill="1" applyBorder="1" applyProtection="1"/>
    <xf numFmtId="165" fontId="25" fillId="5" borderId="0" xfId="0" applyNumberFormat="1" applyFont="1" applyFill="1" applyBorder="1" applyProtection="1"/>
    <xf numFmtId="0" fontId="25" fillId="5" borderId="0" xfId="0" applyFont="1" applyFill="1" applyBorder="1" applyProtection="1"/>
    <xf numFmtId="0" fontId="21" fillId="5" borderId="0" xfId="0" applyFont="1" applyFill="1" applyBorder="1" applyAlignment="1" applyProtection="1">
      <alignment horizontal="left"/>
    </xf>
    <xf numFmtId="2" fontId="21" fillId="5" borderId="0" xfId="0" applyNumberFormat="1" applyFont="1" applyFill="1" applyBorder="1" applyProtection="1"/>
    <xf numFmtId="0" fontId="21" fillId="5" borderId="0" xfId="0" applyFont="1" applyFill="1" applyBorder="1" applyAlignment="1" applyProtection="1">
      <alignment horizontal="left" wrapText="1"/>
    </xf>
    <xf numFmtId="0" fontId="20" fillId="5" borderId="0" xfId="0" applyFont="1" applyFill="1" applyBorder="1" applyAlignment="1" applyProtection="1">
      <alignment horizontal="center"/>
    </xf>
    <xf numFmtId="3" fontId="21" fillId="5" borderId="0" xfId="0" applyNumberFormat="1" applyFont="1" applyFill="1" applyBorder="1" applyProtection="1"/>
    <xf numFmtId="3" fontId="25" fillId="5" borderId="0" xfId="0" applyNumberFormat="1" applyFont="1" applyFill="1" applyBorder="1" applyProtection="1"/>
    <xf numFmtId="0" fontId="16" fillId="5" borderId="0" xfId="2" applyFont="1" applyFill="1" applyBorder="1" applyAlignment="1" applyProtection="1"/>
    <xf numFmtId="0" fontId="21" fillId="5" borderId="0" xfId="0" applyFont="1" applyFill="1" applyBorder="1" applyAlignment="1" applyProtection="1">
      <alignment horizontal="left" vertical="top"/>
    </xf>
    <xf numFmtId="0" fontId="24" fillId="9" borderId="0" xfId="0" applyFont="1" applyFill="1" applyBorder="1" applyProtection="1"/>
    <xf numFmtId="0" fontId="20" fillId="9" borderId="0" xfId="0" applyFont="1" applyFill="1" applyBorder="1" applyAlignment="1" applyProtection="1">
      <alignment horizontal="center"/>
    </xf>
    <xf numFmtId="2" fontId="21" fillId="9" borderId="0" xfId="0" applyNumberFormat="1" applyFont="1" applyFill="1" applyBorder="1" applyProtection="1"/>
    <xf numFmtId="3" fontId="21" fillId="9" borderId="0" xfId="0" applyNumberFormat="1" applyFont="1" applyFill="1" applyBorder="1" applyProtection="1"/>
    <xf numFmtId="3" fontId="25" fillId="9" borderId="0" xfId="0" applyNumberFormat="1" applyFont="1" applyFill="1" applyBorder="1" applyProtection="1"/>
    <xf numFmtId="4" fontId="21" fillId="9" borderId="0" xfId="0" applyNumberFormat="1" applyFont="1" applyFill="1" applyBorder="1" applyProtection="1"/>
    <xf numFmtId="0" fontId="16" fillId="8" borderId="0" xfId="2" applyFont="1" applyFill="1" applyBorder="1" applyAlignment="1" applyProtection="1"/>
    <xf numFmtId="0" fontId="21" fillId="8" borderId="0" xfId="0" applyFont="1" applyFill="1" applyBorder="1" applyProtection="1"/>
    <xf numFmtId="0" fontId="21" fillId="8" borderId="0" xfId="0" applyFont="1" applyFill="1" applyBorder="1" applyAlignment="1" applyProtection="1">
      <alignment horizontal="left"/>
    </xf>
    <xf numFmtId="0" fontId="25" fillId="8" borderId="0" xfId="0" applyFont="1" applyFill="1" applyBorder="1" applyProtection="1"/>
    <xf numFmtId="0" fontId="16" fillId="8" borderId="0" xfId="0" applyFont="1" applyFill="1" applyBorder="1" applyAlignment="1" applyProtection="1">
      <alignment vertical="center"/>
      <protection hidden="1"/>
    </xf>
    <xf numFmtId="0" fontId="41" fillId="8" borderId="0" xfId="0" applyFont="1" applyFill="1" applyBorder="1" applyAlignment="1">
      <alignment vertical="center"/>
    </xf>
    <xf numFmtId="1" fontId="41" fillId="8" borderId="0" xfId="0" applyNumberFormat="1" applyFont="1" applyFill="1" applyBorder="1" applyAlignment="1">
      <alignment vertical="center"/>
    </xf>
    <xf numFmtId="165" fontId="41" fillId="8" borderId="0" xfId="0" applyNumberFormat="1" applyFont="1" applyFill="1" applyBorder="1" applyAlignment="1">
      <alignment vertical="center"/>
    </xf>
    <xf numFmtId="164" fontId="41" fillId="8" borderId="0" xfId="0" applyNumberFormat="1" applyFont="1" applyFill="1" applyBorder="1" applyAlignment="1">
      <alignment vertical="center"/>
    </xf>
    <xf numFmtId="0" fontId="20" fillId="7" borderId="15" xfId="0" applyFont="1" applyFill="1" applyBorder="1" applyAlignment="1" applyProtection="1">
      <alignment horizontal="center"/>
      <protection locked="0"/>
    </xf>
    <xf numFmtId="0" fontId="20" fillId="7" borderId="12" xfId="0" applyFont="1" applyFill="1" applyBorder="1" applyAlignment="1" applyProtection="1">
      <alignment horizontal="left"/>
      <protection locked="0"/>
    </xf>
    <xf numFmtId="164" fontId="20" fillId="7" borderId="15" xfId="0" applyNumberFormat="1" applyFont="1" applyFill="1" applyBorder="1" applyAlignment="1" applyProtection="1">
      <alignment horizontal="center"/>
      <protection locked="0"/>
    </xf>
    <xf numFmtId="4" fontId="20" fillId="7" borderId="27" xfId="0" applyNumberFormat="1" applyFont="1" applyFill="1" applyBorder="1" applyAlignment="1" applyProtection="1">
      <alignment horizontal="center" vertical="center"/>
      <protection locked="0"/>
    </xf>
    <xf numFmtId="4" fontId="20" fillId="7" borderId="27" xfId="0" applyNumberFormat="1" applyFont="1" applyFill="1" applyBorder="1" applyAlignment="1" applyProtection="1">
      <alignment horizontal="center"/>
      <protection locked="0"/>
    </xf>
    <xf numFmtId="166" fontId="20" fillId="7" borderId="27" xfId="0" applyNumberFormat="1" applyFont="1" applyFill="1" applyBorder="1" applyAlignment="1" applyProtection="1">
      <alignment horizontal="center"/>
      <protection locked="0"/>
    </xf>
    <xf numFmtId="3" fontId="20" fillId="7" borderId="27" xfId="0" applyNumberFormat="1" applyFont="1" applyFill="1" applyBorder="1" applyAlignment="1" applyProtection="1">
      <alignment horizontal="center"/>
      <protection locked="0"/>
    </xf>
    <xf numFmtId="9" fontId="20" fillId="7" borderId="27" xfId="3" applyFont="1" applyFill="1" applyBorder="1" applyAlignment="1" applyProtection="1">
      <alignment horizontal="center"/>
      <protection locked="0"/>
    </xf>
    <xf numFmtId="0" fontId="13" fillId="0" borderId="0" xfId="0" applyFont="1" applyFill="1" applyBorder="1" applyAlignment="1">
      <alignment vertical="top" wrapText="1"/>
    </xf>
    <xf numFmtId="0" fontId="15" fillId="0" borderId="0" xfId="0" applyFont="1" applyFill="1" applyAlignment="1">
      <alignment horizontal="left" vertical="top" wrapText="1"/>
    </xf>
    <xf numFmtId="0" fontId="15" fillId="0" borderId="22" xfId="0" applyFont="1" applyBorder="1" applyAlignment="1">
      <alignment horizontal="left" vertical="top" wrapText="1"/>
    </xf>
    <xf numFmtId="0" fontId="16" fillId="5" borderId="0" xfId="0" applyFont="1" applyFill="1" applyAlignment="1">
      <alignment horizontal="left" vertical="top" wrapText="1"/>
    </xf>
    <xf numFmtId="49" fontId="13" fillId="5" borderId="0" xfId="0" applyNumberFormat="1" applyFont="1" applyFill="1" applyAlignment="1">
      <alignment horizontal="left" vertical="top" wrapText="1"/>
    </xf>
    <xf numFmtId="0" fontId="15" fillId="5" borderId="0" xfId="0" applyFont="1" applyFill="1" applyAlignment="1">
      <alignment horizontal="left" vertical="top" wrapText="1"/>
    </xf>
    <xf numFmtId="0" fontId="20" fillId="5" borderId="0" xfId="0" applyFont="1" applyFill="1" applyBorder="1" applyAlignment="1">
      <alignment horizontal="left" vertical="center" wrapText="1"/>
    </xf>
    <xf numFmtId="0" fontId="21" fillId="5" borderId="0" xfId="0" applyFont="1" applyFill="1" applyAlignment="1">
      <alignment horizontal="left" vertical="top" wrapText="1"/>
    </xf>
    <xf numFmtId="0" fontId="13" fillId="5" borderId="0" xfId="0" applyFont="1" applyFill="1" applyBorder="1" applyAlignment="1">
      <alignment horizontal="left" vertical="center" wrapText="1"/>
    </xf>
    <xf numFmtId="0" fontId="16" fillId="8" borderId="0" xfId="0" applyFont="1" applyFill="1" applyBorder="1" applyAlignment="1" applyProtection="1">
      <alignment horizontal="left" vertical="top"/>
    </xf>
    <xf numFmtId="3" fontId="20" fillId="9" borderId="34" xfId="0" applyNumberFormat="1" applyFont="1" applyFill="1" applyBorder="1" applyAlignment="1" applyProtection="1">
      <alignment horizontal="center" vertical="center"/>
    </xf>
    <xf numFmtId="3" fontId="20" fillId="9" borderId="22" xfId="0" applyNumberFormat="1" applyFont="1" applyFill="1" applyBorder="1" applyAlignment="1" applyProtection="1">
      <alignment horizontal="center" vertical="center"/>
    </xf>
    <xf numFmtId="3" fontId="20" fillId="9" borderId="35" xfId="0" applyNumberFormat="1" applyFont="1" applyFill="1" applyBorder="1" applyAlignment="1" applyProtection="1">
      <alignment horizontal="center" vertical="center"/>
    </xf>
    <xf numFmtId="0" fontId="21" fillId="5" borderId="17" xfId="0" applyFont="1" applyFill="1" applyBorder="1" applyAlignment="1" applyProtection="1">
      <alignment horizontal="left" vertical="top" wrapText="1"/>
    </xf>
    <xf numFmtId="0" fontId="21" fillId="5" borderId="0" xfId="0" applyFont="1" applyFill="1" applyBorder="1" applyAlignment="1" applyProtection="1">
      <alignment horizontal="left" vertical="top" wrapText="1"/>
    </xf>
    <xf numFmtId="0" fontId="21" fillId="5" borderId="5" xfId="0" applyFont="1" applyFill="1" applyBorder="1" applyAlignment="1" applyProtection="1">
      <alignment horizontal="left" vertical="top" wrapText="1"/>
    </xf>
    <xf numFmtId="1" fontId="20" fillId="0" borderId="27" xfId="0" applyNumberFormat="1" applyFont="1" applyFill="1" applyBorder="1" applyAlignment="1">
      <alignment vertical="center" wrapText="1"/>
    </xf>
    <xf numFmtId="0" fontId="21" fillId="0" borderId="23" xfId="0" applyFont="1" applyFill="1" applyBorder="1" applyAlignment="1">
      <alignment vertical="center"/>
    </xf>
    <xf numFmtId="0" fontId="20" fillId="0" borderId="23" xfId="0" applyFont="1" applyFill="1" applyBorder="1" applyAlignment="1">
      <alignment vertical="center" wrapText="1"/>
    </xf>
    <xf numFmtId="0" fontId="21" fillId="0" borderId="25" xfId="0" applyFont="1" applyFill="1" applyBorder="1" applyAlignment="1">
      <alignment vertical="center"/>
    </xf>
    <xf numFmtId="165" fontId="20" fillId="0" borderId="23" xfId="0" applyNumberFormat="1" applyFont="1" applyFill="1" applyBorder="1" applyAlignment="1">
      <alignment horizontal="center" vertical="center" wrapText="1"/>
    </xf>
    <xf numFmtId="0" fontId="21" fillId="0" borderId="25" xfId="0" applyFont="1" applyFill="1" applyBorder="1" applyAlignment="1">
      <alignment horizontal="center" vertical="center"/>
    </xf>
    <xf numFmtId="0" fontId="21" fillId="0" borderId="24" xfId="0" applyFont="1" applyFill="1" applyBorder="1" applyAlignment="1">
      <alignment vertical="center"/>
    </xf>
    <xf numFmtId="0" fontId="20" fillId="0" borderId="27" xfId="0" applyFont="1" applyFill="1" applyBorder="1" applyAlignment="1">
      <alignment horizontal="center" vertical="center" wrapText="1"/>
    </xf>
    <xf numFmtId="0" fontId="20" fillId="0" borderId="34" xfId="0" applyFont="1" applyFill="1" applyBorder="1" applyAlignment="1">
      <alignment horizontal="center" vertical="center" wrapText="1"/>
    </xf>
    <xf numFmtId="0" fontId="21" fillId="5" borderId="28" xfId="0" applyFont="1" applyFill="1" applyBorder="1" applyAlignment="1">
      <alignment horizontal="left" vertical="center" wrapText="1"/>
    </xf>
    <xf numFmtId="0" fontId="21" fillId="5" borderId="17" xfId="0" applyFont="1" applyFill="1" applyBorder="1" applyAlignment="1">
      <alignment horizontal="left" vertical="center" wrapText="1"/>
    </xf>
    <xf numFmtId="0" fontId="21" fillId="5" borderId="29" xfId="0" applyFont="1" applyFill="1" applyBorder="1" applyAlignment="1">
      <alignment horizontal="left" vertical="center" wrapText="1"/>
    </xf>
    <xf numFmtId="0" fontId="27" fillId="5" borderId="30" xfId="0" applyFont="1" applyFill="1" applyBorder="1" applyAlignment="1">
      <alignment horizontal="left" vertical="center" wrapText="1"/>
    </xf>
    <xf numFmtId="0" fontId="27" fillId="5" borderId="5" xfId="0" applyFont="1" applyFill="1" applyBorder="1" applyAlignment="1">
      <alignment horizontal="left" vertical="center" wrapText="1"/>
    </xf>
    <xf numFmtId="0" fontId="27" fillId="5" borderId="31" xfId="0" applyFont="1" applyFill="1" applyBorder="1" applyAlignment="1">
      <alignment horizontal="left" vertical="center" wrapText="1"/>
    </xf>
    <xf numFmtId="0" fontId="21" fillId="5" borderId="28" xfId="0" applyFont="1" applyFill="1" applyBorder="1" applyAlignment="1" applyProtection="1">
      <alignment horizontal="left" vertical="top" wrapText="1"/>
    </xf>
    <xf numFmtId="0" fontId="21" fillId="5" borderId="17" xfId="0" applyFont="1" applyFill="1" applyBorder="1" applyAlignment="1" applyProtection="1">
      <alignment horizontal="left" vertical="top"/>
    </xf>
    <xf numFmtId="0" fontId="21" fillId="5" borderId="29" xfId="0" applyFont="1" applyFill="1" applyBorder="1" applyAlignment="1" applyProtection="1">
      <alignment horizontal="left" vertical="top"/>
    </xf>
    <xf numFmtId="0" fontId="21" fillId="5" borderId="36" xfId="0" applyFont="1" applyFill="1" applyBorder="1" applyAlignment="1" applyProtection="1">
      <alignment horizontal="left" vertical="top"/>
    </xf>
    <xf numFmtId="0" fontId="21" fillId="5" borderId="0" xfId="0" applyFont="1" applyFill="1" applyBorder="1" applyAlignment="1" applyProtection="1">
      <alignment horizontal="left" vertical="top"/>
    </xf>
    <xf numFmtId="0" fontId="21" fillId="5" borderId="37" xfId="0" applyFont="1" applyFill="1" applyBorder="1" applyAlignment="1" applyProtection="1">
      <alignment horizontal="left" vertical="top"/>
    </xf>
    <xf numFmtId="0" fontId="21" fillId="5" borderId="30" xfId="0" applyFont="1" applyFill="1" applyBorder="1" applyAlignment="1" applyProtection="1">
      <alignment horizontal="left" vertical="top"/>
    </xf>
    <xf numFmtId="0" fontId="21" fillId="5" borderId="5" xfId="0" applyFont="1" applyFill="1" applyBorder="1" applyAlignment="1" applyProtection="1">
      <alignment horizontal="left" vertical="top"/>
    </xf>
    <xf numFmtId="0" fontId="21" fillId="5" borderId="31" xfId="0" applyFont="1" applyFill="1" applyBorder="1" applyAlignment="1" applyProtection="1">
      <alignment horizontal="left" vertical="top"/>
    </xf>
    <xf numFmtId="166" fontId="20" fillId="6" borderId="27" xfId="0" applyNumberFormat="1" applyFont="1" applyFill="1" applyBorder="1" applyAlignment="1" applyProtection="1">
      <alignment horizontal="center"/>
    </xf>
    <xf numFmtId="173" fontId="20" fillId="6" borderId="27" xfId="3" applyNumberFormat="1" applyFont="1" applyFill="1" applyBorder="1" applyAlignment="1" applyProtection="1">
      <alignment horizontal="center"/>
    </xf>
    <xf numFmtId="9" fontId="20" fillId="6" borderId="27" xfId="3" applyFont="1" applyFill="1" applyBorder="1" applyAlignment="1" applyProtection="1">
      <alignment horizontal="center"/>
    </xf>
    <xf numFmtId="166" fontId="20" fillId="6" borderId="15" xfId="0" applyNumberFormat="1" applyFont="1" applyFill="1" applyBorder="1" applyAlignment="1" applyProtection="1">
      <alignment horizontal="center"/>
    </xf>
  </cellXfs>
  <cellStyles count="5">
    <cellStyle name="Euro" xfId="1"/>
    <cellStyle name="Komma" xfId="4" builtinId="3"/>
    <cellStyle name="Link" xfId="2" builtinId="8"/>
    <cellStyle name="Prozent" xfId="3" builtinId="5"/>
    <cellStyle name="Standard" xfId="0" builtinId="0"/>
  </cellStyles>
  <dxfs count="1">
    <dxf>
      <fill>
        <patternFill>
          <bgColor indexed="10"/>
        </patternFill>
      </fill>
    </dxf>
  </dxfs>
  <tableStyles count="0" defaultTableStyle="TableStyleMedium2" defaultPivotStyle="PivotStyleLight16"/>
  <colors>
    <mruColors>
      <color rgb="FFE9E4DF"/>
      <color rgb="FFD9E3E8"/>
      <color rgb="FFEFF4F7"/>
      <color rgb="FFCDDAE1"/>
      <color rgb="FFF6F4F0"/>
      <color rgb="FFE5928E"/>
      <color rgb="FFDFEDDA"/>
      <color rgb="FFEFF3D0"/>
      <color rgb="FFC0C4DF"/>
      <color rgb="FFDEE6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107758</xdr:colOff>
      <xdr:row>8</xdr:row>
      <xdr:rowOff>33796</xdr:rowOff>
    </xdr:from>
    <xdr:to>
      <xdr:col>8</xdr:col>
      <xdr:colOff>26424</xdr:colOff>
      <xdr:row>11</xdr:row>
      <xdr:rowOff>175474</xdr:rowOff>
    </xdr:to>
    <xdr:pic>
      <xdr:nvPicPr>
        <xdr:cNvPr id="2" name="Grafik 1" descr="Logo Klimaaktiv"/>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1664" b="21944"/>
        <a:stretch/>
      </xdr:blipFill>
      <xdr:spPr bwMode="auto">
        <a:xfrm>
          <a:off x="3470497" y="1706883"/>
          <a:ext cx="2204666" cy="7131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246744</xdr:colOff>
      <xdr:row>31</xdr:row>
      <xdr:rowOff>45812</xdr:rowOff>
    </xdr:from>
    <xdr:to>
      <xdr:col>8</xdr:col>
      <xdr:colOff>1038224</xdr:colOff>
      <xdr:row>33</xdr:row>
      <xdr:rowOff>180976</xdr:rowOff>
    </xdr:to>
    <xdr:sp macro="" textlink="">
      <xdr:nvSpPr>
        <xdr:cNvPr id="3" name="Rechteck 2"/>
        <xdr:cNvSpPr/>
      </xdr:nvSpPr>
      <xdr:spPr>
        <a:xfrm>
          <a:off x="246744" y="5944743"/>
          <a:ext cx="6440790" cy="516164"/>
        </a:xfrm>
        <a:prstGeom prst="rect">
          <a:avLst/>
        </a:prstGeom>
        <a:solidFill>
          <a:srgbClr val="E9E4D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de-DE" sz="1100" b="1">
              <a:solidFill>
                <a:sysClr val="windowText" lastClr="000000"/>
              </a:solidFill>
              <a:effectLst/>
              <a:latin typeface="+mn-lt"/>
              <a:ea typeface="+mn-ea"/>
              <a:cs typeface="+mn-cs"/>
            </a:rPr>
            <a:t>Folgende Werte sind</a:t>
          </a:r>
          <a:r>
            <a:rPr lang="de-DE" sz="1100" b="1" baseline="0">
              <a:solidFill>
                <a:sysClr val="windowText" lastClr="000000"/>
              </a:solidFill>
              <a:effectLst/>
              <a:latin typeface="+mn-lt"/>
              <a:ea typeface="+mn-ea"/>
              <a:cs typeface="+mn-cs"/>
            </a:rPr>
            <a:t> für die Berechnung notwendig</a:t>
          </a:r>
        </a:p>
        <a:p>
          <a:pPr marL="0" marR="0" lvl="0" indent="0" algn="l" defTabSz="914400" eaLnBrk="1" fontAlgn="auto" latinLnBrk="0" hangingPunct="1">
            <a:lnSpc>
              <a:spcPct val="100000"/>
            </a:lnSpc>
            <a:spcBef>
              <a:spcPts val="0"/>
            </a:spcBef>
            <a:spcAft>
              <a:spcPts val="0"/>
            </a:spcAft>
            <a:buClrTx/>
            <a:buSzTx/>
            <a:buFontTx/>
            <a:buNone/>
            <a:tabLst/>
            <a:defRPr/>
          </a:pPr>
          <a:r>
            <a:rPr lang="de-DE" sz="1100" b="0" baseline="0">
              <a:solidFill>
                <a:sysClr val="windowText" lastClr="000000"/>
              </a:solidFill>
              <a:effectLst/>
              <a:latin typeface="+mn-lt"/>
              <a:ea typeface="+mn-ea"/>
              <a:cs typeface="+mn-cs"/>
            </a:rPr>
            <a:t>Holzart, Holzstortiment (z.B. Scheitholz, Hackgut, etc.), Wassergehalt, Preis</a:t>
          </a:r>
          <a:endParaRPr lang="de-DE" sz="1100" b="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de-AT" sz="1100">
            <a:solidFill>
              <a:sysClr val="windowText" lastClr="000000"/>
            </a:solidFill>
          </a:endParaRPr>
        </a:p>
      </xdr:txBody>
    </xdr:sp>
    <xdr:clientData/>
  </xdr:twoCellAnchor>
  <xdr:twoCellAnchor>
    <xdr:from>
      <xdr:col>0</xdr:col>
      <xdr:colOff>235857</xdr:colOff>
      <xdr:row>34</xdr:row>
      <xdr:rowOff>132895</xdr:rowOff>
    </xdr:from>
    <xdr:to>
      <xdr:col>8</xdr:col>
      <xdr:colOff>1047749</xdr:colOff>
      <xdr:row>41</xdr:row>
      <xdr:rowOff>180975</xdr:rowOff>
    </xdr:to>
    <xdr:sp macro="" textlink="">
      <xdr:nvSpPr>
        <xdr:cNvPr id="4" name="Rechteck 3"/>
        <xdr:cNvSpPr/>
      </xdr:nvSpPr>
      <xdr:spPr>
        <a:xfrm>
          <a:off x="235857" y="6603326"/>
          <a:ext cx="6461202" cy="1381580"/>
        </a:xfrm>
        <a:prstGeom prst="rect">
          <a:avLst/>
        </a:prstGeom>
        <a:solidFill>
          <a:srgbClr val="F6F4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de-AT" sz="1100" b="1" i="0">
              <a:solidFill>
                <a:sysClr val="windowText" lastClr="000000"/>
              </a:solidFill>
              <a:effectLst/>
              <a:latin typeface="+mn-lt"/>
              <a:ea typeface="+mn-ea"/>
              <a:cs typeface="+mn-cs"/>
            </a:rPr>
            <a:t>Ergebnis</a:t>
          </a:r>
        </a:p>
        <a:p>
          <a:r>
            <a:rPr lang="de-AT" sz="1100" b="0" i="0">
              <a:solidFill>
                <a:sysClr val="windowText" lastClr="000000"/>
              </a:solidFill>
              <a:effectLst/>
              <a:latin typeface="+mn-lt"/>
              <a:ea typeface="+mn-ea"/>
              <a:cs typeface="+mn-cs"/>
            </a:rPr>
            <a:t>Unter Berücksichtigung spezifischer Kenndaten werden die gewichts- und volumenbezogenen Energieinhalte und Sortimentpreise errechnet und einander gegenübergestellt.</a:t>
          </a:r>
        </a:p>
        <a:p>
          <a:endParaRPr lang="de-AT" sz="1100" b="0" i="0">
            <a:solidFill>
              <a:sysClr val="windowText" lastClr="000000"/>
            </a:solidFill>
            <a:effectLst/>
            <a:latin typeface="+mn-lt"/>
            <a:ea typeface="+mn-ea"/>
            <a:cs typeface="+mn-cs"/>
          </a:endParaRPr>
        </a:p>
        <a:p>
          <a:r>
            <a:rPr lang="de-AT" sz="1100" b="0" i="0">
              <a:solidFill>
                <a:sysClr val="windowText" lastClr="000000"/>
              </a:solidFill>
              <a:effectLst/>
              <a:latin typeface="+mn-lt"/>
              <a:ea typeface="+mn-ea"/>
              <a:cs typeface="+mn-cs"/>
            </a:rPr>
            <a:t>Für Biomasseanlagen können zusätzlich der jährliche Brennstoffbedarf nach Gewicht und Volumen berechnet, verschiedene Energieholzsortimente verglichen und die jährlich anfallenden Brennstoffkosten errechnet werden.</a:t>
          </a:r>
        </a:p>
      </xdr:txBody>
    </xdr:sp>
    <xdr:clientData/>
  </xdr:twoCellAnchor>
  <xdr:twoCellAnchor>
    <xdr:from>
      <xdr:col>0</xdr:col>
      <xdr:colOff>222031</xdr:colOff>
      <xdr:row>61</xdr:row>
      <xdr:rowOff>47296</xdr:rowOff>
    </xdr:from>
    <xdr:to>
      <xdr:col>8</xdr:col>
      <xdr:colOff>925972</xdr:colOff>
      <xdr:row>71</xdr:row>
      <xdr:rowOff>140804</xdr:rowOff>
    </xdr:to>
    <xdr:sp macro="" textlink="">
      <xdr:nvSpPr>
        <xdr:cNvPr id="5" name="Rechteck 4"/>
        <xdr:cNvSpPr/>
      </xdr:nvSpPr>
      <xdr:spPr>
        <a:xfrm>
          <a:off x="222031" y="12413231"/>
          <a:ext cx="6352680" cy="1998508"/>
        </a:xfrm>
        <a:prstGeom prst="rect">
          <a:avLst/>
        </a:prstGeom>
        <a:noFill/>
        <a:ln w="12700">
          <a:solidFill>
            <a:srgbClr val="D9E3E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de-DE" sz="1100" b="0" i="1">
              <a:solidFill>
                <a:sysClr val="windowText" lastClr="000000"/>
              </a:solidFill>
              <a:effectLst/>
              <a:latin typeface="+mn-lt"/>
              <a:ea typeface="+mn-ea"/>
              <a:cs typeface="+mn-cs"/>
            </a:rPr>
            <a:t>Disclaimer: Die Inhalte des Tools wurden mit größter Sorgfalt erstellt. Fehler können dennoch nicht gänzlich ausgeschlossen werden. Für die Richtigkeit, Vollständigkeit, Aktualität oder Qualität der bereitgestellten Informationen und für weiterführende Links kann keine Gewähr übernommen werden. Haftungsansprüche gegen Personen, die Inhalte zu diesem Tool bereit gestellt haben, sind daher ausgeschlossen.</a:t>
          </a:r>
        </a:p>
        <a:p>
          <a:pPr marL="0" marR="0" lvl="0" indent="0" algn="l" defTabSz="914400" eaLnBrk="1" fontAlgn="auto" latinLnBrk="0" hangingPunct="1">
            <a:lnSpc>
              <a:spcPct val="100000"/>
            </a:lnSpc>
            <a:spcBef>
              <a:spcPts val="0"/>
            </a:spcBef>
            <a:spcAft>
              <a:spcPts val="0"/>
            </a:spcAft>
            <a:buClrTx/>
            <a:buSzTx/>
            <a:buFontTx/>
            <a:buNone/>
            <a:tabLst/>
            <a:defRPr/>
          </a:pPr>
          <a:r>
            <a:rPr lang="de-DE" sz="1100" b="0" i="1">
              <a:solidFill>
                <a:sysClr val="windowText" lastClr="000000"/>
              </a:solidFill>
              <a:effectLst/>
              <a:latin typeface="+mn-lt"/>
              <a:ea typeface="+mn-ea"/>
              <a:cs typeface="+mn-cs"/>
            </a:rPr>
            <a:t>Wir behalten uns ausdrücklich vor, das Tool ohne gesonderte Ankündigung zu verändern, zu ergänzen, zu löschen oder die Veröffentlichung zeitweise oder endgültig einzustellen und übernehmen daher keine Gewähr und Haftung für die dauerhafte Verfügbarkeit der dargebotenen Informationen.</a:t>
          </a:r>
        </a:p>
        <a:p>
          <a:pPr marL="0" marR="0" lvl="0" indent="0" algn="l" defTabSz="914400" eaLnBrk="1" fontAlgn="auto" latinLnBrk="0" hangingPunct="1">
            <a:lnSpc>
              <a:spcPct val="100000"/>
            </a:lnSpc>
            <a:spcBef>
              <a:spcPts val="0"/>
            </a:spcBef>
            <a:spcAft>
              <a:spcPts val="0"/>
            </a:spcAft>
            <a:buClrTx/>
            <a:buSzTx/>
            <a:buFontTx/>
            <a:buNone/>
            <a:tabLst/>
            <a:defRPr/>
          </a:pPr>
          <a:r>
            <a:rPr lang="de-DE" sz="1100" b="0" i="1">
              <a:solidFill>
                <a:sysClr val="windowText" lastClr="000000"/>
              </a:solidFill>
              <a:effectLst/>
              <a:latin typeface="+mn-lt"/>
              <a:ea typeface="+mn-ea"/>
              <a:cs typeface="+mn-cs"/>
            </a:rPr>
            <a:t/>
          </a:r>
          <a:br>
            <a:rPr lang="de-DE" sz="1100" b="0" i="1">
              <a:solidFill>
                <a:sysClr val="windowText" lastClr="000000"/>
              </a:solidFill>
              <a:effectLst/>
              <a:latin typeface="+mn-lt"/>
              <a:ea typeface="+mn-ea"/>
              <a:cs typeface="+mn-cs"/>
            </a:rPr>
          </a:br>
          <a:r>
            <a:rPr lang="de-DE" sz="1100" b="1" i="1">
              <a:solidFill>
                <a:sysClr val="windowText" lastClr="000000"/>
              </a:solidFill>
              <a:effectLst/>
              <a:latin typeface="+mn-lt"/>
              <a:ea typeface="+mn-ea"/>
              <a:cs typeface="+mn-cs"/>
            </a:rPr>
            <a:t>Copyright</a:t>
          </a:r>
          <a:r>
            <a:rPr lang="de-DE" sz="1100" b="0" i="1">
              <a:solidFill>
                <a:sysClr val="windowText" lastClr="000000"/>
              </a:solidFill>
              <a:effectLst/>
              <a:latin typeface="+mn-lt"/>
              <a:ea typeface="+mn-ea"/>
              <a:cs typeface="+mn-cs"/>
            </a:rPr>
            <a:t>: klimaaktiv / Österreichische Energieagentur - Austrian Energy Agency</a:t>
          </a:r>
        </a:p>
        <a:p>
          <a:pPr marL="0" marR="0" lvl="0" indent="0" algn="l" defTabSz="914400" eaLnBrk="1" fontAlgn="auto" latinLnBrk="0" hangingPunct="1">
            <a:lnSpc>
              <a:spcPct val="100000"/>
            </a:lnSpc>
            <a:spcBef>
              <a:spcPts val="0"/>
            </a:spcBef>
            <a:spcAft>
              <a:spcPts val="0"/>
            </a:spcAft>
            <a:buClrTx/>
            <a:buSzTx/>
            <a:buFontTx/>
            <a:buNone/>
            <a:tabLst/>
            <a:defRPr/>
          </a:pPr>
          <a:r>
            <a:rPr lang="de-AT" sz="1100" b="0" i="1">
              <a:solidFill>
                <a:sysClr val="windowText" lastClr="000000"/>
              </a:solidFill>
            </a:rPr>
            <a:t>Erstellt von DI Kasimir P. Nemestothy &amp; Bernhard Lang, Österreichische Energieagentur - Austrian Energy Agency, Mariahilfer Straße 136, 1150 Wien, www.energyagency.at</a:t>
          </a:r>
        </a:p>
      </xdr:txBody>
    </xdr:sp>
    <xdr:clientData/>
  </xdr:twoCellAnchor>
  <xdr:twoCellAnchor editAs="absolute">
    <xdr:from>
      <xdr:col>0</xdr:col>
      <xdr:colOff>265043</xdr:colOff>
      <xdr:row>8</xdr:row>
      <xdr:rowOff>4555</xdr:rowOff>
    </xdr:from>
    <xdr:to>
      <xdr:col>4</xdr:col>
      <xdr:colOff>494656</xdr:colOff>
      <xdr:row>13</xdr:row>
      <xdr:rowOff>63171</xdr:rowOff>
    </xdr:to>
    <xdr:pic>
      <xdr:nvPicPr>
        <xdr:cNvPr id="6" name="Grafik 5" descr="Q:\901en\5202320 klimaaktiv Siedlungen und Quartiere\2_Externe Kommunikation\0_Vorlagen klimaaktiv\2020\BMK_Logo.jp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6700" y="1676400"/>
          <a:ext cx="2828281" cy="101111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265043</xdr:colOff>
      <xdr:row>2</xdr:row>
      <xdr:rowOff>107674</xdr:rowOff>
    </xdr:from>
    <xdr:to>
      <xdr:col>17</xdr:col>
      <xdr:colOff>1432890</xdr:colOff>
      <xdr:row>6</xdr:row>
      <xdr:rowOff>124240</xdr:rowOff>
    </xdr:to>
    <xdr:sp macro="" textlink="">
      <xdr:nvSpPr>
        <xdr:cNvPr id="4" name="Rechteck 3"/>
        <xdr:cNvSpPr/>
      </xdr:nvSpPr>
      <xdr:spPr>
        <a:xfrm>
          <a:off x="265043" y="795131"/>
          <a:ext cx="18064369" cy="927652"/>
        </a:xfrm>
        <a:prstGeom prst="rect">
          <a:avLst/>
        </a:prstGeom>
        <a:noFill/>
        <a:ln w="12700">
          <a:solidFill>
            <a:srgbClr val="E9E4D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de-AT" sz="1100" b="0" i="0">
              <a:solidFill>
                <a:sysClr val="windowText" lastClr="000000"/>
              </a:solidFill>
              <a:effectLst/>
              <a:latin typeface="+mn-lt"/>
              <a:ea typeface="+mn-ea"/>
              <a:cs typeface="+mn-cs"/>
            </a:rPr>
            <a:t>Dieses Berechnungsblatt stellt keinen Heizkostenvergleich auf Vollkostenbasis (CAPEX und OPEX) dar. Es werden ausschließlich brennstoffbezogene Kosten berechnet und verglichen.</a:t>
          </a:r>
        </a:p>
        <a:p>
          <a:endParaRPr lang="de-AT" sz="1100" b="1" i="0">
            <a:solidFill>
              <a:sysClr val="windowText" lastClr="000000"/>
            </a:solidFill>
            <a:effectLst/>
            <a:latin typeface="+mn-lt"/>
            <a:ea typeface="+mn-ea"/>
            <a:cs typeface="+mn-cs"/>
          </a:endParaRPr>
        </a:p>
        <a:p>
          <a:r>
            <a:rPr lang="de-AT" sz="1100" b="1" i="0">
              <a:solidFill>
                <a:sysClr val="windowText" lastClr="000000"/>
              </a:solidFill>
              <a:effectLst/>
              <a:latin typeface="+mn-lt"/>
              <a:ea typeface="+mn-ea"/>
              <a:cs typeface="+mn-cs"/>
            </a:rPr>
            <a:t>Bitte verwenden Sie </a:t>
          </a:r>
          <a:r>
            <a:rPr lang="de-AT" sz="1100" b="1" i="0" u="none">
              <a:solidFill>
                <a:sysClr val="windowText" lastClr="000000"/>
              </a:solidFill>
              <a:effectLst/>
              <a:latin typeface="+mn-lt"/>
              <a:ea typeface="+mn-ea"/>
              <a:cs typeface="+mn-cs"/>
            </a:rPr>
            <a:t>die blauen Zellen </a:t>
          </a:r>
          <a:r>
            <a:rPr lang="de-AT" sz="1100" b="1" i="0">
              <a:solidFill>
                <a:sysClr val="windowText" lastClr="000000"/>
              </a:solidFill>
              <a:effectLst/>
              <a:latin typeface="+mn-lt"/>
              <a:ea typeface="+mn-ea"/>
              <a:cs typeface="+mn-cs"/>
            </a:rPr>
            <a:t>um die Variablen zu ändern.</a:t>
          </a:r>
        </a:p>
        <a:p>
          <a:r>
            <a:rPr lang="de-AT" sz="1100" b="0" i="0">
              <a:solidFill>
                <a:sysClr val="windowText" lastClr="000000"/>
              </a:solidFill>
              <a:effectLst/>
              <a:latin typeface="+mn-lt"/>
              <a:ea typeface="+mn-ea"/>
              <a:cs typeface="+mn-cs"/>
            </a:rPr>
            <a:t>Ziehen Sie den Mauszeiger auf die Kommentare (rotes Dreieck in der jeweiligen Zelle) um zusätzliche Informationen zu den einzelnen Kennwerten zu erhalten.</a:t>
          </a:r>
        </a:p>
        <a:p>
          <a:endParaRPr lang="de-AT" sz="1100" b="0" i="0">
            <a:solidFill>
              <a:sysClr val="windowText" lastClr="000000"/>
            </a:solidFill>
            <a:effectLst/>
            <a:latin typeface="+mn-lt"/>
            <a:ea typeface="+mn-ea"/>
            <a:cs typeface="+mn-cs"/>
          </a:endParaRPr>
        </a:p>
        <a:p>
          <a:endParaRPr lang="de-AT" sz="1100" b="0" i="0">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lorenz.strimitzer@energyagency.at"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showGridLines="0" tabSelected="1" zoomScale="115" zoomScaleNormal="115" workbookViewId="0">
      <selection activeCell="J13" sqref="J13"/>
    </sheetView>
  </sheetViews>
  <sheetFormatPr baseColWidth="10" defaultRowHeight="15" x14ac:dyDescent="0.2"/>
  <cols>
    <col min="1" max="1" width="4" style="5" customWidth="1"/>
    <col min="2" max="2" width="12.140625" style="5" customWidth="1"/>
    <col min="3" max="8" width="11.42578125" style="5"/>
    <col min="9" max="9" width="15.85546875" style="5" customWidth="1"/>
    <col min="10" max="13" width="11.42578125" style="5"/>
    <col min="14" max="14" width="11.5703125" style="5" customWidth="1"/>
    <col min="15" max="16384" width="11.42578125" style="5"/>
  </cols>
  <sheetData>
    <row r="1" spans="1:13" x14ac:dyDescent="0.2">
      <c r="A1" s="3"/>
      <c r="B1" s="3"/>
      <c r="C1" s="3"/>
      <c r="D1" s="3"/>
      <c r="E1" s="3"/>
      <c r="F1" s="3"/>
      <c r="G1" s="3"/>
      <c r="H1" s="3"/>
      <c r="I1" s="3"/>
      <c r="J1" s="3"/>
      <c r="K1" s="4"/>
      <c r="L1" s="3"/>
      <c r="M1" s="3"/>
    </row>
    <row r="2" spans="1:13" ht="21" x14ac:dyDescent="0.2">
      <c r="A2" s="3"/>
      <c r="B2" s="481" t="s">
        <v>422</v>
      </c>
      <c r="C2" s="481"/>
      <c r="D2" s="481"/>
      <c r="E2" s="481"/>
      <c r="F2" s="481"/>
      <c r="G2" s="481"/>
      <c r="H2" s="481"/>
      <c r="I2" s="481"/>
      <c r="J2" s="6"/>
      <c r="K2" s="6"/>
      <c r="L2" s="6"/>
      <c r="M2" s="6"/>
    </row>
    <row r="3" spans="1:13" ht="21" x14ac:dyDescent="0.2">
      <c r="A3" s="3"/>
      <c r="B3" s="7"/>
      <c r="C3" s="3"/>
      <c r="D3" s="3"/>
      <c r="E3" s="3"/>
      <c r="F3" s="3"/>
      <c r="G3" s="3"/>
      <c r="H3" s="3"/>
      <c r="I3" s="3"/>
      <c r="J3" s="6"/>
      <c r="K3" s="6"/>
      <c r="L3" s="8"/>
      <c r="M3" s="8"/>
    </row>
    <row r="4" spans="1:13" x14ac:dyDescent="0.2">
      <c r="A4" s="3"/>
      <c r="B4" s="482" t="s">
        <v>423</v>
      </c>
      <c r="C4" s="482"/>
      <c r="D4" s="482"/>
      <c r="E4" s="482"/>
      <c r="F4" s="482"/>
      <c r="G4" s="482"/>
      <c r="H4" s="482"/>
      <c r="I4" s="482"/>
      <c r="J4" s="6"/>
      <c r="K4" s="6"/>
      <c r="L4" s="8"/>
      <c r="M4" s="8"/>
    </row>
    <row r="5" spans="1:13" x14ac:dyDescent="0.2">
      <c r="A5" s="3"/>
      <c r="B5" s="483" t="s">
        <v>411</v>
      </c>
      <c r="C5" s="483"/>
      <c r="D5" s="483"/>
      <c r="E5" s="483"/>
      <c r="F5" s="483"/>
      <c r="G5" s="483"/>
      <c r="H5" s="483"/>
      <c r="I5" s="483"/>
      <c r="J5" s="6"/>
      <c r="K5" s="9"/>
      <c r="L5" s="6"/>
      <c r="M5" s="6"/>
    </row>
    <row r="6" spans="1:13" x14ac:dyDescent="0.2">
      <c r="A6" s="3"/>
      <c r="B6" s="483"/>
      <c r="C6" s="483"/>
      <c r="D6" s="483"/>
      <c r="E6" s="483"/>
      <c r="F6" s="483"/>
      <c r="G6" s="483"/>
      <c r="H6" s="483"/>
      <c r="I6" s="483"/>
      <c r="J6" s="6"/>
      <c r="K6" s="6"/>
      <c r="L6" s="6"/>
      <c r="M6" s="9"/>
    </row>
    <row r="7" spans="1:13" x14ac:dyDescent="0.2">
      <c r="A7" s="3"/>
      <c r="B7" s="10"/>
      <c r="C7" s="3"/>
      <c r="D7" s="3"/>
      <c r="E7" s="3"/>
      <c r="F7" s="3"/>
      <c r="G7" s="3"/>
      <c r="H7" s="3"/>
      <c r="I7" s="3"/>
      <c r="J7" s="6"/>
      <c r="K7" s="6"/>
      <c r="L7" s="6"/>
      <c r="M7" s="9"/>
    </row>
    <row r="8" spans="1:13" x14ac:dyDescent="0.2">
      <c r="A8" s="3"/>
      <c r="B8" s="10"/>
      <c r="C8" s="3"/>
      <c r="D8" s="3"/>
      <c r="E8" s="3"/>
      <c r="F8" s="3"/>
      <c r="G8" s="3"/>
      <c r="H8" s="3"/>
      <c r="I8" s="3"/>
      <c r="J8" s="9"/>
      <c r="K8" s="9"/>
      <c r="L8" s="6"/>
      <c r="M8" s="9"/>
    </row>
    <row r="9" spans="1:13" x14ac:dyDescent="0.2">
      <c r="A9" s="3"/>
      <c r="B9" s="10"/>
      <c r="C9" s="3"/>
      <c r="D9" s="3"/>
      <c r="E9" s="3"/>
      <c r="F9" s="3"/>
      <c r="G9" s="3"/>
      <c r="H9" s="3"/>
      <c r="I9" s="3"/>
      <c r="J9" s="9"/>
      <c r="K9" s="9"/>
      <c r="L9" s="6"/>
      <c r="M9" s="9"/>
    </row>
    <row r="10" spans="1:13" x14ac:dyDescent="0.2">
      <c r="A10" s="3"/>
      <c r="B10" s="10"/>
      <c r="C10" s="3"/>
      <c r="D10" s="3"/>
      <c r="E10" s="11"/>
      <c r="F10" s="3"/>
      <c r="G10" s="3"/>
      <c r="H10" s="3"/>
      <c r="I10" s="3"/>
    </row>
    <row r="11" spans="1:13" x14ac:dyDescent="0.2">
      <c r="A11" s="3"/>
      <c r="B11" s="10"/>
      <c r="C11" s="3"/>
      <c r="D11" s="3"/>
      <c r="E11" s="11"/>
      <c r="F11" s="3"/>
      <c r="G11" s="3"/>
      <c r="H11" s="3"/>
      <c r="I11" s="3"/>
      <c r="J11" s="3"/>
      <c r="K11" s="3"/>
      <c r="L11" s="3"/>
    </row>
    <row r="12" spans="1:13" x14ac:dyDescent="0.2">
      <c r="A12" s="3"/>
      <c r="B12" s="10"/>
      <c r="C12" s="3"/>
      <c r="D12" s="3"/>
      <c r="E12" s="11"/>
      <c r="F12" s="3"/>
      <c r="G12" s="3"/>
      <c r="H12" s="3"/>
      <c r="I12" s="3"/>
      <c r="J12" s="3"/>
      <c r="K12" s="4"/>
      <c r="L12" s="3"/>
    </row>
    <row r="13" spans="1:13" x14ac:dyDescent="0.2">
      <c r="A13" s="3"/>
      <c r="B13" s="10"/>
      <c r="C13" s="3"/>
      <c r="D13" s="3"/>
      <c r="E13" s="11"/>
      <c r="F13" s="3"/>
      <c r="G13" s="3"/>
      <c r="H13" s="3"/>
      <c r="I13" s="3"/>
      <c r="J13" s="3"/>
      <c r="K13" s="4"/>
      <c r="L13" s="3"/>
    </row>
    <row r="14" spans="1:13" x14ac:dyDescent="0.2">
      <c r="A14" s="3"/>
      <c r="B14" s="10"/>
      <c r="C14" s="3"/>
      <c r="D14" s="3"/>
      <c r="E14" s="11"/>
      <c r="F14" s="3"/>
      <c r="G14" s="3"/>
      <c r="H14" s="3"/>
      <c r="I14" s="3"/>
      <c r="J14" s="3"/>
      <c r="K14" s="4"/>
      <c r="L14" s="3"/>
    </row>
    <row r="15" spans="1:13" x14ac:dyDescent="0.25">
      <c r="A15" s="3"/>
      <c r="J15" s="3"/>
      <c r="K15" s="12"/>
      <c r="L15" s="3"/>
    </row>
    <row r="16" spans="1:13" x14ac:dyDescent="0.2">
      <c r="A16" s="3"/>
      <c r="B16" s="484" t="s">
        <v>412</v>
      </c>
      <c r="C16" s="484"/>
      <c r="D16" s="484"/>
      <c r="E16" s="484"/>
      <c r="F16" s="484"/>
      <c r="G16" s="484"/>
      <c r="H16" s="484"/>
      <c r="I16" s="484"/>
      <c r="J16" s="3"/>
      <c r="K16" s="3"/>
      <c r="L16" s="3"/>
    </row>
    <row r="17" spans="1:12" x14ac:dyDescent="0.2">
      <c r="A17" s="3"/>
      <c r="B17" s="485" t="s">
        <v>424</v>
      </c>
      <c r="C17" s="485"/>
      <c r="D17" s="485"/>
      <c r="E17" s="485"/>
      <c r="F17" s="485"/>
      <c r="G17" s="485"/>
      <c r="H17" s="485"/>
      <c r="I17" s="485"/>
      <c r="J17" s="3"/>
      <c r="K17" s="3"/>
      <c r="L17" s="3"/>
    </row>
    <row r="18" spans="1:12" x14ac:dyDescent="0.2">
      <c r="A18" s="3"/>
      <c r="B18" s="485"/>
      <c r="C18" s="485"/>
      <c r="D18" s="485"/>
      <c r="E18" s="485"/>
      <c r="F18" s="485"/>
      <c r="G18" s="485"/>
      <c r="H18" s="485"/>
      <c r="I18" s="485"/>
      <c r="J18" s="3"/>
      <c r="K18" s="3"/>
      <c r="L18" s="3"/>
    </row>
    <row r="19" spans="1:12" x14ac:dyDescent="0.2">
      <c r="A19" s="3"/>
      <c r="B19" s="485"/>
      <c r="C19" s="485"/>
      <c r="D19" s="485"/>
      <c r="E19" s="485"/>
      <c r="F19" s="485"/>
      <c r="G19" s="485"/>
      <c r="H19" s="485"/>
      <c r="I19" s="485"/>
      <c r="J19" s="3"/>
      <c r="K19" s="3"/>
      <c r="L19" s="3"/>
    </row>
    <row r="20" spans="1:12" x14ac:dyDescent="0.2">
      <c r="A20" s="3"/>
      <c r="B20" s="485"/>
      <c r="C20" s="485"/>
      <c r="D20" s="485"/>
      <c r="E20" s="485"/>
      <c r="F20" s="485"/>
      <c r="G20" s="485"/>
      <c r="H20" s="485"/>
      <c r="I20" s="485"/>
      <c r="J20" s="3"/>
      <c r="K20" s="3"/>
      <c r="L20" s="3"/>
    </row>
    <row r="21" spans="1:12" x14ac:dyDescent="0.2">
      <c r="A21" s="3"/>
      <c r="B21" s="485"/>
      <c r="C21" s="485"/>
      <c r="D21" s="485"/>
      <c r="E21" s="485"/>
      <c r="F21" s="485"/>
      <c r="G21" s="485"/>
      <c r="H21" s="485"/>
      <c r="I21" s="485"/>
      <c r="J21" s="3"/>
      <c r="K21" s="3"/>
      <c r="L21" s="3"/>
    </row>
    <row r="22" spans="1:12" x14ac:dyDescent="0.2">
      <c r="A22" s="3"/>
      <c r="B22" s="485"/>
      <c r="C22" s="485"/>
      <c r="D22" s="485"/>
      <c r="E22" s="485"/>
      <c r="F22" s="485"/>
      <c r="G22" s="485"/>
      <c r="H22" s="485"/>
      <c r="I22" s="485"/>
      <c r="J22" s="3"/>
      <c r="K22" s="3"/>
      <c r="L22" s="3"/>
    </row>
    <row r="23" spans="1:12" x14ac:dyDescent="0.2">
      <c r="A23" s="3"/>
      <c r="B23" s="485"/>
      <c r="C23" s="485"/>
      <c r="D23" s="485"/>
      <c r="E23" s="485"/>
      <c r="F23" s="485"/>
      <c r="G23" s="485"/>
      <c r="H23" s="485"/>
      <c r="I23" s="485"/>
      <c r="J23" s="3"/>
      <c r="K23" s="3"/>
      <c r="L23" s="3"/>
    </row>
    <row r="24" spans="1:12" x14ac:dyDescent="0.2">
      <c r="A24" s="3"/>
      <c r="B24" s="485"/>
      <c r="C24" s="485"/>
      <c r="D24" s="485"/>
      <c r="E24" s="485"/>
      <c r="F24" s="485"/>
      <c r="G24" s="485"/>
      <c r="H24" s="485"/>
      <c r="I24" s="485"/>
      <c r="J24" s="3"/>
      <c r="K24" s="3"/>
      <c r="L24" s="3"/>
    </row>
    <row r="25" spans="1:12" x14ac:dyDescent="0.2">
      <c r="A25" s="3"/>
      <c r="B25" s="485"/>
      <c r="C25" s="485"/>
      <c r="D25" s="485"/>
      <c r="E25" s="485"/>
      <c r="F25" s="485"/>
      <c r="G25" s="485"/>
      <c r="H25" s="485"/>
      <c r="I25" s="485"/>
      <c r="J25" s="3"/>
      <c r="K25" s="3"/>
      <c r="L25" s="3"/>
    </row>
    <row r="26" spans="1:12" x14ac:dyDescent="0.2">
      <c r="A26" s="3"/>
      <c r="B26" s="485"/>
      <c r="C26" s="485"/>
      <c r="D26" s="485"/>
      <c r="E26" s="485"/>
      <c r="F26" s="485"/>
      <c r="G26" s="485"/>
      <c r="H26" s="485"/>
      <c r="I26" s="485"/>
      <c r="J26" s="3"/>
      <c r="K26" s="3"/>
      <c r="L26" s="3"/>
    </row>
    <row r="27" spans="1:12" x14ac:dyDescent="0.2">
      <c r="A27" s="3"/>
      <c r="B27" s="485"/>
      <c r="C27" s="485"/>
      <c r="D27" s="485"/>
      <c r="E27" s="485"/>
      <c r="F27" s="485"/>
      <c r="G27" s="485"/>
      <c r="H27" s="485"/>
      <c r="I27" s="485"/>
      <c r="J27" s="3"/>
      <c r="K27" s="3"/>
      <c r="L27" s="3"/>
    </row>
    <row r="28" spans="1:12" x14ac:dyDescent="0.2">
      <c r="A28" s="3"/>
      <c r="B28" s="485"/>
      <c r="C28" s="485"/>
      <c r="D28" s="485"/>
      <c r="E28" s="485"/>
      <c r="F28" s="485"/>
      <c r="G28" s="485"/>
      <c r="H28" s="485"/>
      <c r="I28" s="485"/>
      <c r="J28" s="3"/>
      <c r="K28" s="3"/>
      <c r="L28" s="3"/>
    </row>
    <row r="29" spans="1:12" x14ac:dyDescent="0.2">
      <c r="A29" s="3"/>
      <c r="B29" s="485"/>
      <c r="C29" s="485"/>
      <c r="D29" s="485"/>
      <c r="E29" s="485"/>
      <c r="F29" s="485"/>
      <c r="G29" s="485"/>
      <c r="H29" s="485"/>
      <c r="I29" s="485"/>
      <c r="J29" s="3"/>
      <c r="K29" s="3"/>
      <c r="L29" s="3"/>
    </row>
    <row r="30" spans="1:12" x14ac:dyDescent="0.2">
      <c r="A30" s="3"/>
      <c r="B30" s="485"/>
      <c r="C30" s="485"/>
      <c r="D30" s="485"/>
      <c r="E30" s="485"/>
      <c r="F30" s="485"/>
      <c r="G30" s="485"/>
      <c r="H30" s="485"/>
      <c r="I30" s="485"/>
      <c r="J30" s="3"/>
      <c r="K30" s="3"/>
      <c r="L30" s="3"/>
    </row>
    <row r="31" spans="1:12" x14ac:dyDescent="0.2">
      <c r="A31" s="3"/>
      <c r="B31" s="485"/>
      <c r="C31" s="485"/>
      <c r="D31" s="485"/>
      <c r="E31" s="485"/>
      <c r="F31" s="485"/>
      <c r="G31" s="485"/>
      <c r="H31" s="485"/>
      <c r="I31" s="485"/>
      <c r="J31" s="3"/>
      <c r="K31" s="3"/>
      <c r="L31" s="3"/>
    </row>
    <row r="32" spans="1:12" x14ac:dyDescent="0.2">
      <c r="A32" s="3"/>
      <c r="B32" s="485"/>
      <c r="C32" s="485"/>
      <c r="D32" s="485"/>
      <c r="E32" s="485"/>
      <c r="F32" s="485"/>
      <c r="G32" s="485"/>
      <c r="H32" s="485"/>
      <c r="I32" s="485"/>
      <c r="J32" s="3"/>
      <c r="K32" s="3"/>
      <c r="L32" s="3"/>
    </row>
    <row r="33" spans="1:13" x14ac:dyDescent="0.2">
      <c r="A33" s="3"/>
      <c r="B33" s="10"/>
      <c r="C33" s="3"/>
      <c r="D33" s="3"/>
      <c r="E33" s="11"/>
      <c r="F33" s="3"/>
      <c r="G33" s="3"/>
      <c r="H33" s="3"/>
      <c r="I33" s="3"/>
      <c r="J33" s="3"/>
      <c r="K33" s="3"/>
      <c r="L33" s="3"/>
    </row>
    <row r="34" spans="1:13" x14ac:dyDescent="0.2">
      <c r="A34" s="3"/>
      <c r="B34" s="10"/>
      <c r="C34" s="3"/>
      <c r="D34" s="3"/>
      <c r="E34" s="11"/>
      <c r="F34" s="3"/>
      <c r="G34" s="3"/>
      <c r="H34" s="3"/>
      <c r="I34" s="3"/>
      <c r="J34" s="3"/>
      <c r="K34" s="3"/>
      <c r="L34" s="3"/>
    </row>
    <row r="35" spans="1:13" x14ac:dyDescent="0.2">
      <c r="A35" s="3"/>
      <c r="B35" s="10"/>
      <c r="C35" s="3"/>
      <c r="D35" s="3"/>
      <c r="E35" s="11"/>
      <c r="F35" s="3"/>
      <c r="G35" s="3"/>
      <c r="H35" s="3"/>
      <c r="I35" s="3"/>
      <c r="J35" s="3"/>
      <c r="K35" s="3"/>
      <c r="L35" s="3"/>
    </row>
    <row r="36" spans="1:13" x14ac:dyDescent="0.2">
      <c r="A36" s="3"/>
      <c r="B36" s="10"/>
      <c r="C36" s="3"/>
      <c r="D36" s="3"/>
      <c r="E36" s="11"/>
      <c r="F36" s="3"/>
      <c r="G36" s="3"/>
      <c r="H36" s="3"/>
      <c r="I36" s="3"/>
      <c r="J36" s="3"/>
      <c r="K36" s="3"/>
      <c r="L36" s="3"/>
    </row>
    <row r="37" spans="1:13" x14ac:dyDescent="0.2">
      <c r="A37" s="3"/>
      <c r="B37" s="10"/>
      <c r="C37" s="3"/>
      <c r="D37" s="3"/>
      <c r="E37" s="11"/>
      <c r="F37" s="3"/>
      <c r="G37" s="3"/>
      <c r="H37" s="3"/>
      <c r="I37" s="3"/>
      <c r="J37" s="3"/>
      <c r="K37" s="3"/>
      <c r="L37" s="3"/>
    </row>
    <row r="38" spans="1:13" x14ac:dyDescent="0.2">
      <c r="A38" s="3"/>
      <c r="B38" s="10"/>
      <c r="C38" s="3"/>
      <c r="D38" s="3"/>
      <c r="E38" s="11"/>
      <c r="F38" s="3"/>
      <c r="G38" s="3"/>
      <c r="H38" s="3"/>
      <c r="I38" s="3"/>
      <c r="J38" s="3"/>
      <c r="K38" s="3"/>
      <c r="L38" s="3"/>
    </row>
    <row r="39" spans="1:13" x14ac:dyDescent="0.2">
      <c r="A39" s="3"/>
      <c r="B39" s="10"/>
      <c r="C39" s="3"/>
      <c r="D39" s="3"/>
      <c r="E39" s="11"/>
      <c r="F39" s="3"/>
      <c r="G39" s="3"/>
      <c r="H39" s="3"/>
      <c r="I39" s="3"/>
      <c r="J39" s="3"/>
      <c r="K39" s="3"/>
      <c r="L39" s="3"/>
    </row>
    <row r="40" spans="1:13" x14ac:dyDescent="0.2">
      <c r="A40" s="3"/>
      <c r="B40" s="10"/>
      <c r="C40" s="3"/>
      <c r="D40" s="3"/>
      <c r="E40" s="11"/>
      <c r="F40" s="3"/>
      <c r="G40" s="3"/>
      <c r="H40" s="3"/>
      <c r="I40" s="3"/>
      <c r="J40" s="3"/>
      <c r="K40" s="3"/>
      <c r="L40" s="3"/>
    </row>
    <row r="41" spans="1:13" x14ac:dyDescent="0.2">
      <c r="A41" s="3"/>
      <c r="B41" s="10"/>
      <c r="C41" s="3"/>
      <c r="D41" s="3"/>
      <c r="E41" s="11"/>
      <c r="F41" s="3"/>
      <c r="G41" s="3"/>
      <c r="H41" s="3"/>
      <c r="I41" s="3"/>
      <c r="J41" s="3"/>
      <c r="K41" s="3"/>
      <c r="L41" s="3"/>
    </row>
    <row r="42" spans="1:13" x14ac:dyDescent="0.2">
      <c r="A42" s="3"/>
      <c r="J42" s="3"/>
      <c r="K42" s="3"/>
      <c r="L42" s="3"/>
    </row>
    <row r="43" spans="1:13" x14ac:dyDescent="0.2">
      <c r="A43" s="3"/>
      <c r="J43" s="3"/>
      <c r="K43" s="3"/>
      <c r="L43" s="3"/>
    </row>
    <row r="44" spans="1:13" x14ac:dyDescent="0.2">
      <c r="A44" s="3"/>
      <c r="B44" s="486" t="s">
        <v>413</v>
      </c>
      <c r="C44" s="486"/>
      <c r="D44" s="486"/>
      <c r="E44" s="486"/>
      <c r="F44" s="486"/>
      <c r="G44" s="486"/>
      <c r="H44" s="486"/>
      <c r="I44" s="486"/>
      <c r="J44" s="3"/>
      <c r="K44" s="3"/>
      <c r="L44" s="3"/>
      <c r="M44" s="3"/>
    </row>
    <row r="45" spans="1:13" x14ac:dyDescent="0.2">
      <c r="A45" s="3"/>
      <c r="B45" s="479" t="s">
        <v>414</v>
      </c>
      <c r="C45" s="479"/>
      <c r="D45" s="479"/>
      <c r="E45" s="479"/>
      <c r="F45" s="479"/>
      <c r="G45" s="479"/>
      <c r="H45" s="479"/>
      <c r="I45" s="479"/>
      <c r="J45" s="3"/>
      <c r="K45" s="3"/>
      <c r="L45" s="3"/>
      <c r="M45" s="3"/>
    </row>
    <row r="46" spans="1:13" x14ac:dyDescent="0.2">
      <c r="A46" s="3"/>
      <c r="B46" s="3"/>
      <c r="C46" s="3"/>
      <c r="D46" s="3"/>
      <c r="E46" s="3"/>
      <c r="F46" s="3"/>
      <c r="G46" s="3"/>
      <c r="H46" s="3"/>
      <c r="I46" s="3"/>
      <c r="J46" s="3"/>
      <c r="K46" s="3"/>
      <c r="L46" s="3"/>
      <c r="M46" s="3"/>
    </row>
    <row r="47" spans="1:13" x14ac:dyDescent="0.2">
      <c r="A47" s="3"/>
      <c r="B47" s="13" t="s">
        <v>415</v>
      </c>
      <c r="D47" s="3"/>
      <c r="E47" s="3"/>
      <c r="F47" s="3"/>
      <c r="G47" s="3"/>
      <c r="H47" s="3"/>
      <c r="I47" s="3"/>
      <c r="J47" s="3"/>
      <c r="K47" s="3"/>
      <c r="L47" s="3"/>
      <c r="M47" s="3"/>
    </row>
    <row r="48" spans="1:13" ht="30.75" customHeight="1" x14ac:dyDescent="0.2">
      <c r="A48" s="3"/>
      <c r="B48" s="14" t="s">
        <v>426</v>
      </c>
      <c r="C48" s="480" t="s">
        <v>425</v>
      </c>
      <c r="D48" s="480"/>
      <c r="E48" s="480"/>
      <c r="F48" s="480"/>
      <c r="G48" s="480"/>
      <c r="H48" s="480"/>
      <c r="I48" s="480"/>
      <c r="J48" s="3"/>
      <c r="K48" s="3"/>
      <c r="L48" s="2"/>
      <c r="M48" s="3"/>
    </row>
    <row r="49" spans="1:13" x14ac:dyDescent="0.2">
      <c r="A49" s="3"/>
      <c r="B49" s="14" t="s">
        <v>427</v>
      </c>
      <c r="C49" s="15" t="s">
        <v>428</v>
      </c>
      <c r="D49" s="14"/>
      <c r="E49" s="14"/>
      <c r="F49" s="16"/>
      <c r="G49" s="16"/>
      <c r="H49" s="16"/>
      <c r="I49" s="16"/>
      <c r="J49" s="3"/>
      <c r="K49" s="3"/>
      <c r="L49" s="1"/>
      <c r="M49" s="3"/>
    </row>
    <row r="50" spans="1:13" x14ac:dyDescent="0.2">
      <c r="A50" s="3"/>
      <c r="B50" s="14" t="s">
        <v>429</v>
      </c>
      <c r="C50" s="15" t="s">
        <v>430</v>
      </c>
      <c r="D50" s="14"/>
      <c r="E50" s="14"/>
      <c r="F50" s="16"/>
      <c r="G50" s="16"/>
      <c r="H50" s="16"/>
      <c r="I50" s="16"/>
      <c r="J50" s="3"/>
      <c r="K50" s="3"/>
      <c r="L50" s="1"/>
      <c r="M50" s="3"/>
    </row>
    <row r="51" spans="1:13" ht="46.5" customHeight="1" x14ac:dyDescent="0.2">
      <c r="A51" s="3"/>
      <c r="B51" s="14" t="s">
        <v>431</v>
      </c>
      <c r="C51" s="480" t="s">
        <v>436</v>
      </c>
      <c r="D51" s="480"/>
      <c r="E51" s="480"/>
      <c r="F51" s="480"/>
      <c r="G51" s="480"/>
      <c r="H51" s="480"/>
      <c r="I51" s="480"/>
      <c r="J51" s="3"/>
      <c r="K51" s="3"/>
      <c r="L51" s="2"/>
      <c r="M51" s="3"/>
    </row>
    <row r="52" spans="1:13" x14ac:dyDescent="0.2">
      <c r="A52" s="3"/>
      <c r="B52" s="14" t="s">
        <v>432</v>
      </c>
      <c r="C52" s="15" t="s">
        <v>434</v>
      </c>
      <c r="D52" s="14"/>
      <c r="E52" s="14"/>
      <c r="F52" s="16"/>
      <c r="G52" s="16"/>
      <c r="H52" s="16"/>
      <c r="I52" s="16"/>
      <c r="J52" s="3"/>
      <c r="K52" s="3"/>
      <c r="L52" s="2"/>
      <c r="M52" s="3"/>
    </row>
    <row r="53" spans="1:13" x14ac:dyDescent="0.2">
      <c r="A53" s="3"/>
      <c r="B53" s="14" t="s">
        <v>433</v>
      </c>
      <c r="C53" s="15" t="s">
        <v>435</v>
      </c>
      <c r="D53" s="14"/>
      <c r="E53" s="14"/>
      <c r="F53" s="16"/>
      <c r="G53" s="16"/>
      <c r="H53" s="16"/>
      <c r="I53" s="16"/>
      <c r="J53" s="3"/>
      <c r="K53" s="3"/>
      <c r="L53" s="2"/>
      <c r="M53" s="3"/>
    </row>
    <row r="54" spans="1:13" x14ac:dyDescent="0.2">
      <c r="A54" s="3"/>
      <c r="C54" s="3"/>
      <c r="D54" s="3"/>
      <c r="E54" s="3"/>
      <c r="F54" s="3"/>
      <c r="G54" s="3"/>
      <c r="H54" s="3"/>
      <c r="I54" s="3"/>
      <c r="J54" s="3"/>
      <c r="K54" s="3"/>
      <c r="L54" s="3"/>
      <c r="M54" s="3"/>
    </row>
    <row r="55" spans="1:13" x14ac:dyDescent="0.2">
      <c r="A55" s="3"/>
      <c r="B55" s="478" t="s">
        <v>416</v>
      </c>
      <c r="C55" s="3"/>
      <c r="D55" s="3"/>
      <c r="E55" s="3"/>
      <c r="F55" s="3"/>
      <c r="G55" s="3"/>
      <c r="H55" s="3"/>
      <c r="I55" s="3"/>
      <c r="J55" s="3"/>
      <c r="K55" s="3"/>
      <c r="L55" s="3"/>
      <c r="M55" s="3"/>
    </row>
    <row r="56" spans="1:13" x14ac:dyDescent="0.2">
      <c r="B56" s="3" t="s">
        <v>417</v>
      </c>
    </row>
    <row r="57" spans="1:13" x14ac:dyDescent="0.2">
      <c r="B57" s="17" t="s">
        <v>418</v>
      </c>
    </row>
    <row r="58" spans="1:13" x14ac:dyDescent="0.25">
      <c r="B58" s="18" t="s">
        <v>419</v>
      </c>
      <c r="F58" s="18"/>
    </row>
    <row r="59" spans="1:13" x14ac:dyDescent="0.25">
      <c r="B59" s="19" t="s">
        <v>420</v>
      </c>
    </row>
    <row r="60" spans="1:13" x14ac:dyDescent="0.25">
      <c r="B60" s="20" t="s">
        <v>421</v>
      </c>
      <c r="F60" s="20"/>
    </row>
  </sheetData>
  <sheetProtection password="C121" sheet="1" objects="1" scenarios="1"/>
  <mergeCells count="9">
    <mergeCell ref="B45:I45"/>
    <mergeCell ref="C48:I48"/>
    <mergeCell ref="C51:I51"/>
    <mergeCell ref="B2:I2"/>
    <mergeCell ref="B4:I4"/>
    <mergeCell ref="B5:I6"/>
    <mergeCell ref="B16:I16"/>
    <mergeCell ref="B17:I32"/>
    <mergeCell ref="B44:I44"/>
  </mergeCells>
  <hyperlinks>
    <hyperlink ref="B60" r:id="rId1" display="mailto:lorenz.strimitzer@energyagency.at"/>
  </hyperlinks>
  <pageMargins left="0.7" right="0.7" top="0.78740157499999996" bottom="0.78740157499999996"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AF376"/>
  <sheetViews>
    <sheetView showGridLines="0" zoomScale="63" zoomScaleNormal="115" workbookViewId="0">
      <selection activeCell="J45" sqref="J45"/>
    </sheetView>
  </sheetViews>
  <sheetFormatPr baseColWidth="10" defaultColWidth="0" defaultRowHeight="15" zeroHeight="1" x14ac:dyDescent="0.25"/>
  <cols>
    <col min="1" max="1" width="4.140625" style="21" customWidth="1"/>
    <col min="2" max="2" width="2.140625" style="22" customWidth="1"/>
    <col min="3" max="3" width="24" style="21" customWidth="1"/>
    <col min="4" max="4" width="38.5703125" style="21" customWidth="1"/>
    <col min="5" max="5" width="14.42578125" style="21" customWidth="1"/>
    <col min="6" max="6" width="34.5703125" style="21" customWidth="1"/>
    <col min="7" max="7" width="4.7109375" style="21" customWidth="1"/>
    <col min="8" max="10" width="21.7109375" style="21" customWidth="1"/>
    <col min="11" max="11" width="4.7109375" style="23" customWidth="1"/>
    <col min="12" max="12" width="21.7109375" style="21" customWidth="1"/>
    <col min="13" max="13" width="4.7109375" style="23" customWidth="1"/>
    <col min="14" max="14" width="21.7109375" style="21" customWidth="1"/>
    <col min="15" max="15" width="4.7109375" style="23" customWidth="1"/>
    <col min="16" max="16" width="21.7109375" style="21" customWidth="1"/>
    <col min="17" max="17" width="4.7109375" style="23" customWidth="1"/>
    <col min="18" max="18" width="21.7109375" style="21" customWidth="1"/>
    <col min="19" max="19" width="17" style="24" customWidth="1"/>
    <col min="20" max="23" width="5" style="21" hidden="1" customWidth="1"/>
    <col min="24" max="24" width="5" style="25" hidden="1" customWidth="1"/>
    <col min="25" max="25" width="5" style="26" hidden="1" customWidth="1"/>
    <col min="26" max="32" width="5" style="21" hidden="1" customWidth="1"/>
    <col min="33" max="33" width="11.42578125" style="21" hidden="1" customWidth="1"/>
    <col min="34" max="16384" width="11.42578125" style="21" hidden="1"/>
  </cols>
  <sheetData>
    <row r="1" spans="2:30" x14ac:dyDescent="0.25"/>
    <row r="2" spans="2:30" s="32" customFormat="1" ht="21" x14ac:dyDescent="0.25">
      <c r="B2" s="487" t="s">
        <v>38</v>
      </c>
      <c r="C2" s="487"/>
      <c r="D2" s="487"/>
      <c r="E2" s="487"/>
      <c r="F2" s="487"/>
      <c r="G2" s="487"/>
      <c r="H2" s="487"/>
      <c r="I2" s="487"/>
      <c r="J2" s="487"/>
      <c r="K2" s="487"/>
      <c r="L2" s="487"/>
      <c r="M2" s="487"/>
      <c r="N2" s="487"/>
      <c r="O2" s="487"/>
      <c r="P2" s="487"/>
      <c r="Q2" s="487"/>
      <c r="R2" s="487"/>
      <c r="U2" s="34"/>
      <c r="V2" s="34"/>
      <c r="W2" s="34"/>
      <c r="X2" s="35"/>
      <c r="Y2" s="36"/>
    </row>
    <row r="3" spans="2:30" s="32" customFormat="1" ht="27" customHeight="1" x14ac:dyDescent="0.25">
      <c r="B3" s="33"/>
      <c r="C3" s="37"/>
      <c r="D3" s="37"/>
      <c r="E3" s="37"/>
      <c r="F3" s="37"/>
      <c r="G3" s="37"/>
      <c r="H3" s="37"/>
      <c r="I3" s="37"/>
      <c r="J3" s="37"/>
      <c r="K3" s="37"/>
      <c r="L3" s="37"/>
      <c r="M3" s="37"/>
      <c r="N3" s="37"/>
      <c r="O3" s="37"/>
      <c r="P3" s="37"/>
      <c r="Q3" s="37"/>
      <c r="R3" s="37"/>
      <c r="U3" s="34"/>
      <c r="V3" s="34"/>
      <c r="W3" s="34"/>
      <c r="X3" s="35"/>
      <c r="Y3" s="36"/>
    </row>
    <row r="4" spans="2:30" s="38" customFormat="1" x14ac:dyDescent="0.25">
      <c r="B4" s="39"/>
      <c r="D4" s="40"/>
      <c r="E4" s="41"/>
      <c r="F4" s="41"/>
      <c r="G4" s="41"/>
      <c r="H4" s="41"/>
      <c r="K4" s="42"/>
      <c r="M4" s="42"/>
      <c r="N4" s="43"/>
      <c r="O4" s="44"/>
      <c r="P4" s="45"/>
      <c r="Q4" s="46"/>
      <c r="R4" s="45"/>
      <c r="S4" s="43"/>
      <c r="X4" s="47"/>
      <c r="Y4" s="48"/>
    </row>
    <row r="5" spans="2:30" s="39" customFormat="1" x14ac:dyDescent="0.25">
      <c r="B5" s="49"/>
      <c r="C5" s="50"/>
      <c r="D5" s="51"/>
      <c r="E5" s="52"/>
      <c r="F5" s="52"/>
      <c r="G5" s="52"/>
      <c r="H5" s="52"/>
      <c r="I5" s="53"/>
      <c r="J5" s="53"/>
      <c r="K5" s="54"/>
      <c r="M5" s="55"/>
      <c r="O5" s="55"/>
      <c r="P5" s="45"/>
      <c r="Q5" s="46"/>
      <c r="R5" s="45"/>
      <c r="S5" s="53"/>
      <c r="X5" s="56"/>
      <c r="Y5" s="57"/>
    </row>
    <row r="6" spans="2:30" s="22" customFormat="1" x14ac:dyDescent="0.25">
      <c r="B6" s="58"/>
      <c r="C6" s="58"/>
      <c r="D6" s="59"/>
      <c r="E6" s="59"/>
      <c r="F6" s="59"/>
      <c r="G6" s="59"/>
      <c r="H6" s="60"/>
      <c r="I6" s="45"/>
      <c r="J6" s="45"/>
      <c r="K6" s="61"/>
      <c r="L6" s="45"/>
      <c r="M6" s="61"/>
      <c r="N6" s="45"/>
      <c r="O6" s="61"/>
      <c r="P6" s="45"/>
      <c r="Q6" s="46"/>
      <c r="R6" s="45"/>
      <c r="S6" s="45"/>
      <c r="X6" s="29"/>
      <c r="Y6" s="30"/>
      <c r="Z6" s="45"/>
      <c r="AA6" s="45"/>
      <c r="AB6" s="45"/>
    </row>
    <row r="7" spans="2:30" s="22" customFormat="1" x14ac:dyDescent="0.25">
      <c r="B7" s="62"/>
      <c r="C7" s="62"/>
      <c r="D7" s="59"/>
      <c r="E7" s="59"/>
      <c r="F7" s="59"/>
      <c r="G7" s="59"/>
      <c r="H7" s="63"/>
      <c r="I7" s="45"/>
      <c r="J7" s="45"/>
      <c r="K7" s="61"/>
      <c r="L7" s="45"/>
      <c r="M7" s="61"/>
      <c r="N7" s="45"/>
      <c r="O7" s="61"/>
      <c r="Q7" s="27"/>
      <c r="S7" s="45"/>
      <c r="X7" s="29"/>
      <c r="Y7" s="64"/>
      <c r="Z7" s="45"/>
      <c r="AA7" s="45"/>
      <c r="AB7" s="45"/>
      <c r="AC7" s="64"/>
      <c r="AD7" s="64"/>
    </row>
    <row r="8" spans="2:30" s="66" customFormat="1" ht="15.75" thickBot="1" x14ac:dyDescent="0.3">
      <c r="B8" s="64"/>
      <c r="D8" s="32"/>
      <c r="F8" s="67"/>
      <c r="G8" s="67"/>
      <c r="H8" s="67"/>
      <c r="I8" s="67"/>
      <c r="J8" s="68"/>
      <c r="K8" s="69"/>
      <c r="L8" s="67"/>
      <c r="M8" s="70"/>
      <c r="N8" s="67"/>
      <c r="O8" s="70"/>
      <c r="P8" s="71"/>
      <c r="Q8" s="72"/>
      <c r="R8" s="73"/>
      <c r="S8" s="68"/>
      <c r="T8" s="32"/>
      <c r="U8" s="34"/>
      <c r="V8" s="34"/>
      <c r="W8" s="34"/>
      <c r="X8" s="25"/>
      <c r="Z8" s="71"/>
      <c r="AA8" s="71"/>
      <c r="AB8" s="71"/>
    </row>
    <row r="9" spans="2:30" ht="45.75" thickBot="1" x14ac:dyDescent="0.3">
      <c r="B9" s="350"/>
      <c r="C9" s="347" t="s">
        <v>437</v>
      </c>
      <c r="D9" s="347"/>
      <c r="E9" s="347"/>
      <c r="F9" s="348"/>
      <c r="G9" s="78"/>
      <c r="H9" s="488" t="s">
        <v>56</v>
      </c>
      <c r="I9" s="489"/>
      <c r="J9" s="490"/>
      <c r="K9" s="79"/>
      <c r="L9" s="349" t="s">
        <v>47</v>
      </c>
      <c r="M9" s="81"/>
      <c r="N9" s="349" t="s">
        <v>46</v>
      </c>
      <c r="O9" s="81"/>
      <c r="P9" s="337" t="s">
        <v>399</v>
      </c>
      <c r="Q9" s="74"/>
      <c r="R9" s="343" t="s">
        <v>410</v>
      </c>
      <c r="S9" s="75"/>
      <c r="T9" s="34"/>
      <c r="U9" s="34"/>
      <c r="V9" s="34"/>
      <c r="W9" s="34"/>
      <c r="Y9" s="66"/>
      <c r="Z9" s="76"/>
      <c r="AA9" s="76"/>
      <c r="AB9" s="77"/>
      <c r="AC9" s="66"/>
      <c r="AD9" s="66"/>
    </row>
    <row r="10" spans="2:30" ht="15.75" thickBot="1" x14ac:dyDescent="0.3">
      <c r="C10" s="32"/>
      <c r="D10" s="32"/>
      <c r="E10" s="32"/>
      <c r="F10" s="78"/>
      <c r="G10" s="78"/>
      <c r="H10" s="309"/>
      <c r="I10" s="309"/>
      <c r="J10" s="309"/>
      <c r="K10" s="79"/>
      <c r="L10" s="75"/>
      <c r="M10" s="81"/>
      <c r="N10" s="75"/>
      <c r="O10" s="81"/>
      <c r="P10" s="75"/>
      <c r="Q10" s="74"/>
      <c r="R10" s="75"/>
      <c r="S10" s="75"/>
      <c r="T10" s="34"/>
      <c r="U10" s="34"/>
      <c r="V10" s="34"/>
      <c r="W10" s="34"/>
      <c r="Y10" s="66"/>
      <c r="Z10" s="80"/>
      <c r="AA10" s="80"/>
      <c r="AB10" s="75"/>
      <c r="AC10" s="66"/>
      <c r="AD10" s="66"/>
    </row>
    <row r="11" spans="2:30" s="82" customFormat="1" x14ac:dyDescent="0.25">
      <c r="B11" s="267"/>
      <c r="C11" s="268" t="s">
        <v>61</v>
      </c>
      <c r="D11" s="269" t="s">
        <v>119</v>
      </c>
      <c r="E11" s="270" t="s">
        <v>123</v>
      </c>
      <c r="F11" s="271"/>
      <c r="G11" s="83"/>
      <c r="H11" s="470" t="s">
        <v>18</v>
      </c>
      <c r="I11" s="470" t="s">
        <v>17</v>
      </c>
      <c r="J11" s="470" t="s">
        <v>18</v>
      </c>
      <c r="K11" s="69"/>
      <c r="L11" s="470" t="s">
        <v>48</v>
      </c>
      <c r="M11" s="69"/>
      <c r="N11" s="470" t="s">
        <v>113</v>
      </c>
      <c r="O11" s="69"/>
      <c r="P11" s="470" t="s">
        <v>386</v>
      </c>
      <c r="Q11" s="84"/>
      <c r="R11" s="344" t="s">
        <v>386</v>
      </c>
      <c r="S11" s="68"/>
      <c r="T11" s="65" t="s">
        <v>29</v>
      </c>
      <c r="U11" s="65" t="s">
        <v>114</v>
      </c>
      <c r="V11" s="35" t="s">
        <v>361</v>
      </c>
      <c r="W11" s="35" t="s">
        <v>48</v>
      </c>
      <c r="X11" s="35" t="s">
        <v>366</v>
      </c>
      <c r="Y11" s="67"/>
      <c r="Z11" s="85" t="str">
        <f>X11</f>
        <v>Erdgas</v>
      </c>
      <c r="AA11" s="85" t="str">
        <f>X12</f>
        <v>Heizöl Extra Leicht</v>
      </c>
      <c r="AB11" s="86" t="str">
        <f>N11</f>
        <v>Pellets, Holz-</v>
      </c>
      <c r="AC11" s="87">
        <v>1</v>
      </c>
      <c r="AD11" s="67"/>
    </row>
    <row r="12" spans="2:30" s="88" customFormat="1" x14ac:dyDescent="0.25">
      <c r="B12" s="272"/>
      <c r="C12" s="89"/>
      <c r="D12" s="28" t="s">
        <v>120</v>
      </c>
      <c r="E12" s="31" t="s">
        <v>131</v>
      </c>
      <c r="F12" s="273"/>
      <c r="G12" s="90"/>
      <c r="H12" s="91" t="str">
        <f>VLOOKUP(H11,Datenblatt!B7:P83,5,FALSE)</f>
        <v>Nadelholz (NH)</v>
      </c>
      <c r="I12" s="91" t="str">
        <f>VLOOKUP(I11,Datenblatt!B7:P83,5,FALSE)</f>
        <v>LH Mischung</v>
      </c>
      <c r="J12" s="91" t="str">
        <f>VLOOKUP(J11,Datenblatt!B7:P83,5,FALSE)</f>
        <v>Nadelholz (NH)</v>
      </c>
      <c r="K12" s="69"/>
      <c r="L12" s="91" t="str">
        <f>VLOOKUP(L11,Datenblatt!B7:P83,5,FALSE)</f>
        <v>Rinde NH</v>
      </c>
      <c r="M12" s="69"/>
      <c r="N12" s="91" t="str">
        <f>VLOOKUP(N11,Datenblatt!B7:P83,5,FALSE)</f>
        <v>Presslinge</v>
      </c>
      <c r="O12" s="69"/>
      <c r="P12" s="91" t="str">
        <f>HLOOKUP($P$11,$Z$11:$AA$30,AC12)</f>
        <v>Fossile Energie</v>
      </c>
      <c r="Q12" s="72"/>
      <c r="R12" s="91" t="str">
        <f>HLOOKUP($R$11,$Z$11:$AB$30,AC12)</f>
        <v>Fossile Energie</v>
      </c>
      <c r="S12" s="92"/>
      <c r="T12" s="65" t="s">
        <v>16</v>
      </c>
      <c r="U12" s="65" t="s">
        <v>116</v>
      </c>
      <c r="V12" s="35" t="s">
        <v>383</v>
      </c>
      <c r="W12" s="35" t="s">
        <v>55</v>
      </c>
      <c r="X12" s="35" t="s">
        <v>386</v>
      </c>
      <c r="Y12" s="66"/>
      <c r="Z12" s="93" t="s">
        <v>393</v>
      </c>
      <c r="AA12" s="93" t="s">
        <v>393</v>
      </c>
      <c r="AB12" s="94" t="str">
        <f>N12</f>
        <v>Presslinge</v>
      </c>
      <c r="AC12" s="87">
        <v>2</v>
      </c>
      <c r="AD12" s="66"/>
    </row>
    <row r="13" spans="2:30" s="88" customFormat="1" x14ac:dyDescent="0.25">
      <c r="B13" s="272"/>
      <c r="C13" s="89"/>
      <c r="D13" s="28" t="s">
        <v>49</v>
      </c>
      <c r="E13" s="31" t="s">
        <v>123</v>
      </c>
      <c r="F13" s="273"/>
      <c r="G13" s="90"/>
      <c r="H13" s="471" t="s">
        <v>362</v>
      </c>
      <c r="I13" s="471" t="s">
        <v>382</v>
      </c>
      <c r="J13" s="471" t="s">
        <v>382</v>
      </c>
      <c r="K13" s="69"/>
      <c r="L13" s="471" t="s">
        <v>365</v>
      </c>
      <c r="M13" s="69"/>
      <c r="N13" s="318"/>
      <c r="O13" s="69"/>
      <c r="P13" s="318"/>
      <c r="Q13" s="72"/>
      <c r="R13" s="318"/>
      <c r="S13" s="68"/>
      <c r="T13" s="65" t="s">
        <v>37</v>
      </c>
      <c r="U13" s="65" t="s">
        <v>113</v>
      </c>
      <c r="V13" s="35" t="s">
        <v>362</v>
      </c>
      <c r="W13" s="34"/>
      <c r="X13" s="35" t="str">
        <f>AB11</f>
        <v>Pellets, Holz-</v>
      </c>
      <c r="Y13" s="66"/>
      <c r="Z13" s="95"/>
      <c r="AA13" s="95"/>
      <c r="AB13" s="86"/>
      <c r="AC13" s="87">
        <v>3</v>
      </c>
      <c r="AD13" s="66"/>
    </row>
    <row r="14" spans="2:30" s="88" customFormat="1" x14ac:dyDescent="0.25">
      <c r="B14" s="272"/>
      <c r="C14" s="89"/>
      <c r="D14" s="96" t="s">
        <v>21</v>
      </c>
      <c r="E14" s="97" t="s">
        <v>375</v>
      </c>
      <c r="F14" s="274"/>
      <c r="G14" s="98"/>
      <c r="H14" s="99">
        <f>VLOOKUP(H13,Datenblatt!T7:W25,2,FALSE)</f>
        <v>1.25</v>
      </c>
      <c r="I14" s="99">
        <f>VLOOKUP(I13,Datenblatt!T7:W19,2,FALSE)</f>
        <v>2.5</v>
      </c>
      <c r="J14" s="99">
        <f>VLOOKUP(J13,Datenblatt!T7:W19,2,FALSE)</f>
        <v>2.5</v>
      </c>
      <c r="K14" s="100"/>
      <c r="L14" s="99">
        <f>VLOOKUP(L13,Datenblatt!T20:W21,2,FALSE)</f>
        <v>3.3332999999999999</v>
      </c>
      <c r="M14" s="100"/>
      <c r="N14" s="99">
        <v>1</v>
      </c>
      <c r="O14" s="100"/>
      <c r="P14" s="99">
        <v>1</v>
      </c>
      <c r="Q14" s="72"/>
      <c r="R14" s="99">
        <v>1</v>
      </c>
      <c r="S14" s="101"/>
      <c r="T14" s="65" t="s">
        <v>155</v>
      </c>
      <c r="U14" s="65" t="s">
        <v>115</v>
      </c>
      <c r="V14" s="35" t="s">
        <v>363</v>
      </c>
      <c r="W14" s="34"/>
      <c r="X14" s="25"/>
      <c r="Y14" s="66"/>
      <c r="Z14" s="102">
        <v>1</v>
      </c>
      <c r="AA14" s="102">
        <v>1</v>
      </c>
      <c r="AB14" s="103">
        <f>N14</f>
        <v>1</v>
      </c>
      <c r="AC14" s="87">
        <v>4</v>
      </c>
      <c r="AD14" s="66"/>
    </row>
    <row r="15" spans="2:30" s="88" customFormat="1" ht="15.75" thickBot="1" x14ac:dyDescent="0.3">
      <c r="B15" s="275"/>
      <c r="C15" s="276"/>
      <c r="D15" s="351" t="s">
        <v>53</v>
      </c>
      <c r="E15" s="352" t="s">
        <v>132</v>
      </c>
      <c r="F15" s="353"/>
      <c r="G15" s="98"/>
      <c r="H15" s="338" t="str">
        <f>VLOOKUP(H13,Datenblatt!T7:W19,3,FALSE)</f>
        <v>rm</v>
      </c>
      <c r="I15" s="338" t="str">
        <f>VLOOKUP(I13,Datenblatt!T7:W19,3,FALSE)</f>
        <v>srm</v>
      </c>
      <c r="J15" s="338" t="str">
        <f>VLOOKUP(J13,Datenblatt!T7:W19,3,FALSE)</f>
        <v>srm</v>
      </c>
      <c r="K15" s="104"/>
      <c r="L15" s="338" t="str">
        <f>VLOOKUP(L13,Datenblatt!T20:W21,3,FALSE)</f>
        <v>srm</v>
      </c>
      <c r="M15" s="104"/>
      <c r="N15" s="338" t="str">
        <f>VLOOKUP(N11,Datenblatt!T22:W25,3,FALSE)</f>
        <v>t-lutro</v>
      </c>
      <c r="O15" s="104"/>
      <c r="P15" s="338" t="str">
        <f>HLOOKUP($P$11,$Z$11:$AA$30,AC15)</f>
        <v>Liter</v>
      </c>
      <c r="Q15" s="72"/>
      <c r="R15" s="319" t="str">
        <f>HLOOKUP($R$11,$Z$11:$AB$36,AC15)</f>
        <v>Liter</v>
      </c>
      <c r="S15" s="105"/>
      <c r="T15" s="65" t="s">
        <v>18</v>
      </c>
      <c r="U15" s="34"/>
      <c r="V15" s="35" t="s">
        <v>373</v>
      </c>
      <c r="W15" s="34"/>
      <c r="X15" s="25"/>
      <c r="Y15" s="66"/>
      <c r="Z15" s="106" t="s">
        <v>68</v>
      </c>
      <c r="AA15" s="106" t="s">
        <v>392</v>
      </c>
      <c r="AB15" s="103" t="str">
        <f>N15</f>
        <v>t-lutro</v>
      </c>
      <c r="AC15" s="87">
        <v>5</v>
      </c>
      <c r="AD15" s="66"/>
    </row>
    <row r="16" spans="2:30" s="88" customFormat="1" ht="15.75" thickBot="1" x14ac:dyDescent="0.3">
      <c r="B16" s="236"/>
      <c r="C16" s="236"/>
      <c r="D16" s="98"/>
      <c r="E16" s="265"/>
      <c r="F16" s="266"/>
      <c r="G16" s="98"/>
      <c r="H16" s="107">
        <f>(100-H17)/100</f>
        <v>0.35</v>
      </c>
      <c r="I16" s="107">
        <f>(100-I17)/100</f>
        <v>0.55000000000000004</v>
      </c>
      <c r="J16" s="107">
        <f>(100-J17)/100</f>
        <v>0.55000000000000004</v>
      </c>
      <c r="K16" s="107"/>
      <c r="L16" s="107">
        <f>(100-L17)/100</f>
        <v>0.5</v>
      </c>
      <c r="M16" s="107"/>
      <c r="N16" s="107">
        <f>(100-N17)/100</f>
        <v>0.92</v>
      </c>
      <c r="O16" s="107"/>
      <c r="P16" s="107">
        <f>(100-P17)/100</f>
        <v>0.99999799999999994</v>
      </c>
      <c r="Q16" s="107"/>
      <c r="R16" s="107">
        <f>(100-R17)/100</f>
        <v>0.99999799999999994</v>
      </c>
      <c r="S16" s="105"/>
      <c r="T16" s="65" t="s">
        <v>160</v>
      </c>
      <c r="U16" s="34"/>
      <c r="V16" s="35" t="s">
        <v>374</v>
      </c>
      <c r="W16" s="34"/>
      <c r="X16" s="25"/>
      <c r="Y16" s="66"/>
      <c r="Z16" s="108"/>
      <c r="AA16" s="108"/>
      <c r="AB16" s="105"/>
      <c r="AC16" s="87">
        <v>6</v>
      </c>
      <c r="AD16" s="66"/>
    </row>
    <row r="17" spans="2:31" ht="18" x14ac:dyDescent="0.35">
      <c r="B17" s="277"/>
      <c r="C17" s="278" t="s">
        <v>60</v>
      </c>
      <c r="D17" s="132" t="s">
        <v>438</v>
      </c>
      <c r="E17" s="133" t="s">
        <v>8</v>
      </c>
      <c r="F17" s="279"/>
      <c r="G17" s="22"/>
      <c r="H17" s="472">
        <v>65</v>
      </c>
      <c r="I17" s="472">
        <v>45</v>
      </c>
      <c r="J17" s="472">
        <v>45</v>
      </c>
      <c r="K17" s="109"/>
      <c r="L17" s="472">
        <v>50</v>
      </c>
      <c r="M17" s="109"/>
      <c r="N17" s="472">
        <v>8</v>
      </c>
      <c r="O17" s="109"/>
      <c r="P17" s="320">
        <f>HLOOKUP($P$11,$Z$11:$AA$30,AC17)</f>
        <v>1.9999999999999998E-4</v>
      </c>
      <c r="Q17" s="74"/>
      <c r="R17" s="320">
        <f>HLOOKUP($R$11,$Z$11:$AB$30,AC17)</f>
        <v>1.9999999999999998E-4</v>
      </c>
      <c r="S17" s="110"/>
      <c r="T17" s="65" t="s">
        <v>163</v>
      </c>
      <c r="U17" s="34"/>
      <c r="V17" s="35" t="s">
        <v>382</v>
      </c>
      <c r="Y17" s="66"/>
      <c r="Z17" s="111">
        <f>21*10^-6</f>
        <v>2.0999999999999999E-5</v>
      </c>
      <c r="AA17" s="111">
        <f>200*10^-6</f>
        <v>1.9999999999999998E-4</v>
      </c>
      <c r="AB17" s="112">
        <f>N17</f>
        <v>8</v>
      </c>
      <c r="AC17" s="87">
        <v>7</v>
      </c>
      <c r="AD17" s="66"/>
    </row>
    <row r="18" spans="2:31" ht="15.75" thickBot="1" x14ac:dyDescent="0.3">
      <c r="B18" s="280"/>
      <c r="C18" s="118"/>
      <c r="D18" s="118" t="s">
        <v>5</v>
      </c>
      <c r="E18" s="119" t="s">
        <v>7</v>
      </c>
      <c r="F18" s="281"/>
      <c r="G18" s="22"/>
      <c r="H18" s="310">
        <f>VLOOKUP(H11,Datenblatt!B7:P83,7,FALSE)</f>
        <v>6.2</v>
      </c>
      <c r="I18" s="310">
        <f>VLOOKUP(I11,Datenblatt!B7:P83,7,FALSE)</f>
        <v>6</v>
      </c>
      <c r="J18" s="310">
        <f>VLOOKUP(J11,Datenblatt!B7:P83,7,FALSE)</f>
        <v>6.2</v>
      </c>
      <c r="K18" s="113"/>
      <c r="L18" s="310">
        <f>VLOOKUP(L11,Datenblatt!B7:P83,7,FALSE)</f>
        <v>6.2</v>
      </c>
      <c r="M18" s="113"/>
      <c r="N18" s="310">
        <f>VLOOKUP(N11,Datenblatt!B7:P83,7,FALSE)</f>
        <v>6.2</v>
      </c>
      <c r="O18" s="113"/>
      <c r="P18" s="320">
        <f>HLOOKUP($P$11,$Z$11:$AA$30,AC18)</f>
        <v>14</v>
      </c>
      <c r="Q18" s="74"/>
      <c r="R18" s="320">
        <f>HLOOKUP($R$11,$Z$11:$AB$30,AC18)</f>
        <v>14</v>
      </c>
      <c r="S18" s="110"/>
      <c r="T18" s="65" t="s">
        <v>167</v>
      </c>
      <c r="U18" s="34"/>
      <c r="V18" s="35" t="s">
        <v>376</v>
      </c>
      <c r="W18" s="34"/>
      <c r="Y18" s="66"/>
      <c r="Z18" s="114">
        <v>25</v>
      </c>
      <c r="AA18" s="114">
        <v>14</v>
      </c>
      <c r="AB18" s="112">
        <f>N18</f>
        <v>6.2</v>
      </c>
      <c r="AC18" s="87">
        <v>8</v>
      </c>
      <c r="AD18" s="66"/>
    </row>
    <row r="19" spans="2:31" ht="15.75" thickBot="1" x14ac:dyDescent="0.3">
      <c r="B19" s="65"/>
      <c r="C19" s="34"/>
      <c r="E19" s="38"/>
      <c r="F19" s="39"/>
      <c r="G19" s="115"/>
      <c r="H19" s="110"/>
      <c r="I19" s="110"/>
      <c r="J19" s="110"/>
      <c r="K19" s="113"/>
      <c r="L19" s="110"/>
      <c r="M19" s="113"/>
      <c r="N19" s="110"/>
      <c r="O19" s="113"/>
      <c r="P19" s="110"/>
      <c r="Q19" s="74"/>
      <c r="R19" s="110"/>
      <c r="S19" s="110"/>
      <c r="T19" s="65" t="s">
        <v>170</v>
      </c>
      <c r="U19" s="34"/>
      <c r="V19" s="35" t="s">
        <v>377</v>
      </c>
      <c r="W19" s="34"/>
      <c r="Y19" s="66"/>
      <c r="Z19" s="110"/>
      <c r="AA19" s="110"/>
      <c r="AB19" s="110"/>
      <c r="AC19" s="87">
        <v>9</v>
      </c>
      <c r="AD19" s="66"/>
    </row>
    <row r="20" spans="2:31" s="34" customFormat="1" x14ac:dyDescent="0.25">
      <c r="B20" s="282"/>
      <c r="C20" s="283" t="s">
        <v>127</v>
      </c>
      <c r="D20" s="132" t="s">
        <v>133</v>
      </c>
      <c r="E20" s="133" t="s">
        <v>6</v>
      </c>
      <c r="F20" s="279"/>
      <c r="G20" s="22"/>
      <c r="H20" s="125">
        <f>VLOOKUP(H11,Datenblatt!B7:P83,8,FALSE)</f>
        <v>20.3669431</v>
      </c>
      <c r="I20" s="125">
        <f>VLOOKUP(I11,Datenblatt!B7:P83,8,FALSE)</f>
        <v>19.322848199999999</v>
      </c>
      <c r="J20" s="125">
        <f>VLOOKUP(J11,Datenblatt!B7:P83,8,FALSE)</f>
        <v>20.3669431</v>
      </c>
      <c r="K20" s="116"/>
      <c r="L20" s="125">
        <f>VLOOKUP(L11,Datenblatt!B7:P83,8,FALSE)</f>
        <v>20.3669431</v>
      </c>
      <c r="M20" s="116"/>
      <c r="N20" s="125">
        <f>VLOOKUP(N11,Datenblatt!B7:P83,8,FALSE)</f>
        <v>20.3669431</v>
      </c>
      <c r="O20" s="116"/>
      <c r="P20" s="125">
        <f>HLOOKUP($P$11,$Z$11:$AA$30,AC20)</f>
        <v>46.015171800000005</v>
      </c>
      <c r="Q20" s="74"/>
      <c r="R20" s="125">
        <f>HLOOKUP($R$11,$Z$11:$AB$30,AC20)</f>
        <v>46.015171800000005</v>
      </c>
      <c r="S20" s="105"/>
      <c r="T20" s="65" t="s">
        <v>108</v>
      </c>
      <c r="V20" s="35" t="s">
        <v>378</v>
      </c>
      <c r="X20" s="35"/>
      <c r="Y20" s="32"/>
      <c r="Z20" s="117">
        <v>53.952254641909825</v>
      </c>
      <c r="AA20" s="117">
        <v>46.015171800000005</v>
      </c>
      <c r="AB20" s="103">
        <f>VLOOKUP(N11,Datenblatt!B7:P83,8,FALSE)</f>
        <v>20.3669431</v>
      </c>
      <c r="AC20" s="87">
        <v>10</v>
      </c>
      <c r="AD20" s="32"/>
    </row>
    <row r="21" spans="2:31" x14ac:dyDescent="0.25">
      <c r="B21" s="280"/>
      <c r="C21" s="118"/>
      <c r="D21" s="118" t="s">
        <v>134</v>
      </c>
      <c r="E21" s="119" t="s">
        <v>20</v>
      </c>
      <c r="F21" s="281"/>
      <c r="G21" s="22"/>
      <c r="H21" s="120">
        <f>H20/3.6</f>
        <v>5.6574841944444447</v>
      </c>
      <c r="I21" s="120">
        <f>I20/3.6</f>
        <v>5.3674578333333329</v>
      </c>
      <c r="J21" s="120">
        <f>J20/3.6</f>
        <v>5.6574841944444447</v>
      </c>
      <c r="K21" s="104"/>
      <c r="L21" s="120">
        <f>L20/3.6</f>
        <v>5.6574841944444447</v>
      </c>
      <c r="M21" s="104"/>
      <c r="N21" s="120">
        <f>N20/3.6</f>
        <v>5.6574841944444447</v>
      </c>
      <c r="O21" s="104"/>
      <c r="P21" s="120">
        <f>P20/3.6</f>
        <v>12.781992166666667</v>
      </c>
      <c r="Q21" s="74"/>
      <c r="R21" s="120">
        <f>R20/3.6</f>
        <v>12.781992166666667</v>
      </c>
      <c r="S21" s="121"/>
      <c r="T21" s="65" t="s">
        <v>109</v>
      </c>
      <c r="U21" s="34"/>
      <c r="V21" s="35" t="s">
        <v>379</v>
      </c>
      <c r="W21" s="34"/>
      <c r="Y21" s="122">
        <f>Z21*Z29*10^-3</f>
        <v>11.300000000000002</v>
      </c>
      <c r="Z21" s="123">
        <f>Z20/3.6</f>
        <v>14.986737400530506</v>
      </c>
      <c r="AA21" s="123">
        <f>AA20/3.6</f>
        <v>12.781992166666667</v>
      </c>
      <c r="AB21" s="123">
        <f>AB20/3.6</f>
        <v>5.6574841944444447</v>
      </c>
      <c r="AC21" s="87">
        <v>11</v>
      </c>
      <c r="AD21" s="66"/>
    </row>
    <row r="22" spans="2:31" x14ac:dyDescent="0.25">
      <c r="B22" s="284"/>
      <c r="C22" s="124" t="s">
        <v>128</v>
      </c>
      <c r="D22" s="28" t="s">
        <v>138</v>
      </c>
      <c r="E22" s="31" t="s">
        <v>6</v>
      </c>
      <c r="F22" s="285"/>
      <c r="G22" s="22"/>
      <c r="H22" s="125">
        <f>H23*3.6</f>
        <v>18.99999996</v>
      </c>
      <c r="I22" s="125">
        <f>I23*3.6</f>
        <v>18</v>
      </c>
      <c r="J22" s="125">
        <f>J23*3.6</f>
        <v>18.99999996</v>
      </c>
      <c r="K22" s="113"/>
      <c r="L22" s="125">
        <f>L23*3.6</f>
        <v>18.99999996</v>
      </c>
      <c r="M22" s="113"/>
      <c r="N22" s="125">
        <f>N23*3.6</f>
        <v>18.99999996</v>
      </c>
      <c r="O22" s="113"/>
      <c r="P22" s="125">
        <f>P23*3.6</f>
        <v>42.928526000000005</v>
      </c>
      <c r="Q22" s="74"/>
      <c r="R22" s="125">
        <f>R23*3.6</f>
        <v>42.928526000000005</v>
      </c>
      <c r="S22" s="110"/>
      <c r="T22" s="65" t="s">
        <v>178</v>
      </c>
      <c r="U22" s="34"/>
      <c r="V22" s="35" t="s">
        <v>67</v>
      </c>
      <c r="W22" s="34"/>
      <c r="Y22" s="66"/>
      <c r="Z22" s="126">
        <f>(Z20-2.441*(9*Z18/100-Z17))</f>
        <v>48.460055902909822</v>
      </c>
      <c r="AA22" s="126">
        <f>(AA20-2.441*(9*AA18/100-AA17))</f>
        <v>42.940000000000005</v>
      </c>
      <c r="AB22" s="126">
        <f>AB23*3.6</f>
        <v>38.532865099999995</v>
      </c>
      <c r="AC22" s="87">
        <v>12</v>
      </c>
      <c r="AD22" s="66"/>
    </row>
    <row r="23" spans="2:31" x14ac:dyDescent="0.25">
      <c r="B23" s="284"/>
      <c r="C23" s="124"/>
      <c r="D23" s="354" t="s">
        <v>135</v>
      </c>
      <c r="E23" s="355" t="s">
        <v>20</v>
      </c>
      <c r="F23" s="356"/>
      <c r="G23" s="64"/>
      <c r="H23" s="339">
        <f>(H20*(1-0/100)-2.447*0/100-H18/100/2*18.02*2.447*(1-0/100))/3.6</f>
        <v>5.2777777666666665</v>
      </c>
      <c r="I23" s="339">
        <f>(I20*(1-0/100)-2.447*0/100-I18/100/2*18.02*2.447*(1-0/100))/3.6</f>
        <v>5</v>
      </c>
      <c r="J23" s="339">
        <f>(J20*(1-0/100)-2.447*0/100-J18/100/2*18.02*2.447*(1-0/100))/3.6</f>
        <v>5.2777777666666665</v>
      </c>
      <c r="K23" s="127"/>
      <c r="L23" s="339">
        <f>(L20*(1-0/100)-2.447*0/100-L18/100/2*18.02*2.447*(1-0/100))/3.6</f>
        <v>5.2777777666666665</v>
      </c>
      <c r="M23" s="127"/>
      <c r="N23" s="339">
        <f>(N20*(1-0/100)-2.447*0/100-N18/100/2*18.02*2.447*(1-0/100))/3.6</f>
        <v>5.2777777666666665</v>
      </c>
      <c r="O23" s="127"/>
      <c r="P23" s="339">
        <f>(P20*(1-0/100)-2.447*0/100-P18/100/2*18.02*2.447*(1-0/100))/3.6</f>
        <v>11.924590555555557</v>
      </c>
      <c r="Q23" s="74"/>
      <c r="R23" s="321">
        <f>(R20*(1-0/100)-2.447*0/100-R18/100/2*18.02*2.447*(1-0/100))/3.6</f>
        <v>11.924590555555557</v>
      </c>
      <c r="S23" s="128"/>
      <c r="T23" s="65" t="s">
        <v>181</v>
      </c>
      <c r="U23" s="34"/>
      <c r="V23" s="35" t="s">
        <v>364</v>
      </c>
      <c r="W23" s="34"/>
      <c r="Y23" s="66"/>
      <c r="Z23" s="129">
        <f>Z22/3.6</f>
        <v>13.461126639697172</v>
      </c>
      <c r="AA23" s="129">
        <f>AA22/3.6</f>
        <v>11.927777777777779</v>
      </c>
      <c r="AB23" s="129">
        <f>(AB20-2.441*(9*AB18/100-AB17))/3.6</f>
        <v>10.703573638888887</v>
      </c>
      <c r="AC23" s="87">
        <v>13</v>
      </c>
      <c r="AD23" s="130">
        <v>11.927777777777779</v>
      </c>
      <c r="AE23" s="131">
        <f>AA23-AD23</f>
        <v>0</v>
      </c>
    </row>
    <row r="24" spans="2:31" x14ac:dyDescent="0.25">
      <c r="B24" s="284"/>
      <c r="C24" s="124"/>
      <c r="D24" s="132" t="s">
        <v>136</v>
      </c>
      <c r="E24" s="133" t="s">
        <v>0</v>
      </c>
      <c r="F24" s="279"/>
      <c r="G24" s="22"/>
      <c r="H24" s="125">
        <f>H25*3.6</f>
        <v>5.0594499859999997</v>
      </c>
      <c r="I24" s="125">
        <f>I25*3.6</f>
        <v>8.7988499999999998</v>
      </c>
      <c r="J24" s="125">
        <f>J25*3.6</f>
        <v>9.3488499780000005</v>
      </c>
      <c r="K24" s="113"/>
      <c r="L24" s="125">
        <f>L25*3.6</f>
        <v>8.2764999800000005</v>
      </c>
      <c r="M24" s="134"/>
      <c r="N24" s="125">
        <f>N25*3.6</f>
        <v>17.284239963200001</v>
      </c>
      <c r="O24" s="134"/>
      <c r="P24" s="125">
        <f>P25*3.6</f>
        <v>42.928435248948006</v>
      </c>
      <c r="Q24" s="74"/>
      <c r="R24" s="125">
        <f>R25*3.6</f>
        <v>42.928435248948006</v>
      </c>
      <c r="S24" s="110"/>
      <c r="T24" s="65" t="s">
        <v>25</v>
      </c>
      <c r="U24" s="34"/>
      <c r="V24" s="35" t="s">
        <v>69</v>
      </c>
      <c r="W24" s="34"/>
      <c r="Y24" s="66"/>
      <c r="Z24" s="135">
        <f>Z25*3.6</f>
        <v>48.459993952698852</v>
      </c>
      <c r="AA24" s="135">
        <f>AA25*3.6</f>
        <v>42.939421038976413</v>
      </c>
      <c r="AB24" s="135">
        <f>AB25*3.6</f>
        <v>17.284239963200001</v>
      </c>
      <c r="AC24" s="87">
        <v>14</v>
      </c>
      <c r="AD24" s="66"/>
    </row>
    <row r="25" spans="2:31" s="66" customFormat="1" x14ac:dyDescent="0.25">
      <c r="B25" s="284"/>
      <c r="C25" s="124"/>
      <c r="D25" s="354" t="s">
        <v>139</v>
      </c>
      <c r="E25" s="355" t="s">
        <v>1</v>
      </c>
      <c r="F25" s="356"/>
      <c r="G25" s="64"/>
      <c r="H25" s="340">
        <f>(H20*(1-H17/100)-2.447*H17/100-H18/100/2*18.02*2.447*(1-H17/100))/3.6</f>
        <v>1.4054027738888888</v>
      </c>
      <c r="I25" s="340">
        <f>(I20*(1-I17/100)-2.447*I17/100-I18/100/2*18.02*2.447*(1-I17/100))/3.6</f>
        <v>2.4441250000000001</v>
      </c>
      <c r="J25" s="340">
        <f>(J20*(1-J17/100)-2.447*J17/100-J18/100/2*18.02*2.447*(1-J17/100))/3.6</f>
        <v>2.5969027716666666</v>
      </c>
      <c r="K25" s="127"/>
      <c r="L25" s="340">
        <f>(L20*(1-L17/100)-2.447*L17/100-L18/100/2*18.02*2.447*(1-L17/100))/3.6</f>
        <v>2.2990277722222223</v>
      </c>
      <c r="M25" s="127"/>
      <c r="N25" s="340">
        <f>(N20*(1-N17/100)-2.447*N17/100-N18/100/2*18.02*2.447*(1-N17/100))/3.6</f>
        <v>4.801177767555556</v>
      </c>
      <c r="O25" s="127"/>
      <c r="P25" s="340">
        <f>(P20*(1-P17/100)-2.447*P17/100-P18/100/2*18.02*2.447*(1-P17/100))/3.6</f>
        <v>11.924565346930001</v>
      </c>
      <c r="Q25" s="72"/>
      <c r="R25" s="322">
        <f>(R20*(1-R17/100)-2.447*R17/100-R18/100/2*18.02*2.447*(1-R17/100))/3.6</f>
        <v>11.924565346930001</v>
      </c>
      <c r="S25" s="128"/>
      <c r="T25" s="65" t="s">
        <v>186</v>
      </c>
      <c r="U25" s="34"/>
      <c r="V25" s="35" t="s">
        <v>365</v>
      </c>
      <c r="W25" s="34"/>
      <c r="X25" s="25"/>
      <c r="Z25" s="136">
        <f>(Z20*(1-Z17/100)-2.441*Z17/100-Z18/100*9*2.441*(1-Z17/100))/3.6</f>
        <v>13.461109431305236</v>
      </c>
      <c r="AA25" s="136">
        <f>(AA20*(1-AA17/100)-2.441*AA17/100-AA18/100*9*2.441*(1-AA17/100))/3.6</f>
        <v>11.927616955271226</v>
      </c>
      <c r="AB25" s="136">
        <f>(AB20*(1-AB17/100)-2.447*AB17/100-AB18/100/2*18.02*2.447*(1-AB17/100))/3.6</f>
        <v>4.801177767555556</v>
      </c>
      <c r="AC25" s="87">
        <v>15</v>
      </c>
    </row>
    <row r="26" spans="2:31" x14ac:dyDescent="0.25">
      <c r="B26" s="286"/>
      <c r="C26" s="28"/>
      <c r="D26" s="28" t="s">
        <v>137</v>
      </c>
      <c r="E26" s="31" t="s">
        <v>2</v>
      </c>
      <c r="F26" s="285"/>
      <c r="G26" s="22"/>
      <c r="H26" s="137">
        <f>H27*3.6</f>
        <v>4186.6804078436116</v>
      </c>
      <c r="I26" s="137">
        <f>I27*3.6</f>
        <v>3464.7631592727275</v>
      </c>
      <c r="J26" s="137">
        <f>J27*3.6</f>
        <v>2461.5012054802469</v>
      </c>
      <c r="K26" s="138"/>
      <c r="L26" s="137">
        <f>L27*3.6</f>
        <v>1951.2954247390273</v>
      </c>
      <c r="M26" s="138"/>
      <c r="N26" s="137">
        <f>N27*3.6</f>
        <v>11272.33041078261</v>
      </c>
      <c r="O26" s="138"/>
      <c r="P26" s="137">
        <f>P27*3.6</f>
        <v>35931.172165713811</v>
      </c>
      <c r="Q26" s="74"/>
      <c r="R26" s="137">
        <f>R27*3.6</f>
        <v>35931.172165713811</v>
      </c>
      <c r="S26" s="139"/>
      <c r="T26" s="65" t="s">
        <v>190</v>
      </c>
      <c r="U26" s="34"/>
      <c r="V26" s="34"/>
      <c r="W26" s="34"/>
      <c r="Y26" s="66"/>
      <c r="Z26" s="140">
        <f>Z27*3.6</f>
        <v>36538.843113491988</v>
      </c>
      <c r="AA26" s="140">
        <f>AA27*3.6</f>
        <v>35940.367290357848</v>
      </c>
      <c r="AB26" s="141">
        <f>AB27*3.6</f>
        <v>11272.33041078261</v>
      </c>
      <c r="AC26" s="87">
        <v>16</v>
      </c>
      <c r="AD26" s="66"/>
    </row>
    <row r="27" spans="2:31" s="66" customFormat="1" ht="15.75" thickBot="1" x14ac:dyDescent="0.3">
      <c r="B27" s="287"/>
      <c r="C27" s="288"/>
      <c r="D27" s="357" t="s">
        <v>137</v>
      </c>
      <c r="E27" s="358" t="s">
        <v>3</v>
      </c>
      <c r="F27" s="359"/>
      <c r="G27" s="64"/>
      <c r="H27" s="341">
        <f>H25*H31</f>
        <v>1162.9667799565586</v>
      </c>
      <c r="I27" s="341">
        <f>I25*I31</f>
        <v>962.43421090909101</v>
      </c>
      <c r="J27" s="341">
        <f>J25*J31</f>
        <v>683.75033485562415</v>
      </c>
      <c r="K27" s="142"/>
      <c r="L27" s="341">
        <f>L25*L31</f>
        <v>542.02650687195205</v>
      </c>
      <c r="M27" s="142"/>
      <c r="N27" s="341">
        <f>N25*N31</f>
        <v>3131.2028918840583</v>
      </c>
      <c r="O27" s="142"/>
      <c r="P27" s="341">
        <f>P25*P31</f>
        <v>9980.881157142725</v>
      </c>
      <c r="Q27" s="72"/>
      <c r="R27" s="323">
        <f>R25*R31</f>
        <v>9980.881157142725</v>
      </c>
      <c r="S27" s="143"/>
      <c r="T27" s="65" t="s">
        <v>23</v>
      </c>
      <c r="U27" s="34"/>
      <c r="V27" s="34"/>
      <c r="W27" s="34"/>
      <c r="X27" s="25"/>
      <c r="Z27" s="144">
        <f>Z25*Z31</f>
        <v>10149.678642636663</v>
      </c>
      <c r="AA27" s="144">
        <f>AA25*AA31</f>
        <v>9983.4353584327346</v>
      </c>
      <c r="AB27" s="144">
        <f>AB25*AB31</f>
        <v>3131.2028918840583</v>
      </c>
      <c r="AC27" s="87">
        <v>17</v>
      </c>
    </row>
    <row r="28" spans="2:31" ht="15.75" thickBot="1" x14ac:dyDescent="0.3">
      <c r="B28" s="65"/>
      <c r="C28" s="34"/>
      <c r="E28" s="38"/>
      <c r="F28" s="38"/>
      <c r="G28" s="22"/>
      <c r="H28" s="145"/>
      <c r="I28" s="145"/>
      <c r="J28" s="145"/>
      <c r="K28" s="116"/>
      <c r="L28" s="145"/>
      <c r="M28" s="116"/>
      <c r="N28" s="145"/>
      <c r="O28" s="116"/>
      <c r="P28" s="145"/>
      <c r="Q28" s="74"/>
      <c r="R28" s="145"/>
      <c r="S28" s="146"/>
      <c r="T28" s="65" t="s">
        <v>196</v>
      </c>
      <c r="U28" s="147"/>
      <c r="V28" s="34"/>
      <c r="W28" s="34"/>
      <c r="Y28" s="66"/>
      <c r="Z28" s="145"/>
      <c r="AA28" s="145"/>
      <c r="AB28" s="145"/>
      <c r="AC28" s="87">
        <v>18</v>
      </c>
      <c r="AD28" s="66"/>
    </row>
    <row r="29" spans="2:31" s="66" customFormat="1" ht="18" x14ac:dyDescent="0.35">
      <c r="B29" s="282"/>
      <c r="C29" s="283" t="s">
        <v>122</v>
      </c>
      <c r="D29" s="132" t="s">
        <v>31</v>
      </c>
      <c r="E29" s="133" t="s">
        <v>439</v>
      </c>
      <c r="F29" s="279"/>
      <c r="G29" s="65"/>
      <c r="H29" s="311">
        <f>VLOOKUP(H11,Datenblatt!B7:P83,9,FALSE)</f>
        <v>410</v>
      </c>
      <c r="I29" s="311">
        <f>VLOOKUP(I11,Datenblatt!B7:P83,9,FALSE)</f>
        <v>640</v>
      </c>
      <c r="J29" s="311">
        <f>VLOOKUP(J11,Datenblatt!B7:P83,9,FALSE)</f>
        <v>410</v>
      </c>
      <c r="K29" s="138"/>
      <c r="L29" s="311">
        <f>VLOOKUP(L11,Datenblatt!B7:P83,9,FALSE)</f>
        <v>445</v>
      </c>
      <c r="M29" s="138"/>
      <c r="N29" s="311">
        <f>VLOOKUP(N11,Datenblatt!B7:P83,9,FALSE)</f>
        <v>600</v>
      </c>
      <c r="O29" s="138"/>
      <c r="P29" s="311">
        <f>HLOOKUP($P$11,$Z$11:$AA$30,AC29)</f>
        <v>837</v>
      </c>
      <c r="Q29" s="72"/>
      <c r="R29" s="311">
        <f>HLOOKUP($R$11,$Z$11:$AB$30,AC29)</f>
        <v>837</v>
      </c>
      <c r="S29" s="139"/>
      <c r="T29" s="65" t="s">
        <v>200</v>
      </c>
      <c r="U29" s="148"/>
      <c r="V29" s="34"/>
      <c r="W29" s="34"/>
      <c r="X29" s="25"/>
      <c r="Z29" s="117">
        <v>754</v>
      </c>
      <c r="AA29" s="117">
        <v>837</v>
      </c>
      <c r="AB29" s="117">
        <f>N29</f>
        <v>600</v>
      </c>
      <c r="AC29" s="87">
        <v>19</v>
      </c>
    </row>
    <row r="30" spans="2:31" x14ac:dyDescent="0.25">
      <c r="B30" s="286"/>
      <c r="C30" s="28"/>
      <c r="D30" s="149" t="s">
        <v>40</v>
      </c>
      <c r="E30" s="150" t="s">
        <v>19</v>
      </c>
      <c r="F30" s="289"/>
      <c r="G30" s="151"/>
      <c r="H30" s="152">
        <f>VLOOKUP(H11,Datenblatt!B7:P83,15,FALSE)</f>
        <v>11.7</v>
      </c>
      <c r="I30" s="152">
        <f>VLOOKUP(I11,Datenblatt!B7:P83,15,FALSE)</f>
        <v>15.4</v>
      </c>
      <c r="J30" s="152">
        <f>VLOOKUP(J11,Datenblatt!B7:P83,15,FALSE)</f>
        <v>11.7</v>
      </c>
      <c r="K30" s="153"/>
      <c r="L30" s="152">
        <f>VLOOKUP(L11,Datenblatt!B7:P83,15,FALSE)</f>
        <v>11.7</v>
      </c>
      <c r="M30" s="153"/>
      <c r="N30" s="324">
        <f>VLOOKUP(N11,Datenblatt!B7:P83,15,FALSE)</f>
        <v>0</v>
      </c>
      <c r="O30" s="153"/>
      <c r="P30" s="324">
        <f>HLOOKUP($P$11,$Z$11:$AA$30,AC30)</f>
        <v>0</v>
      </c>
      <c r="Q30" s="74"/>
      <c r="R30" s="324">
        <f>HLOOKUP($R$11,$Z$11:$AB$30,AC30)</f>
        <v>0</v>
      </c>
      <c r="S30" s="154"/>
      <c r="T30" s="65" t="s">
        <v>17</v>
      </c>
      <c r="U30" s="34"/>
      <c r="V30" s="34"/>
      <c r="W30" s="34"/>
      <c r="Y30" s="66"/>
      <c r="Z30" s="155">
        <v>0</v>
      </c>
      <c r="AA30" s="155">
        <v>0</v>
      </c>
      <c r="AB30" s="155">
        <f>N30</f>
        <v>0</v>
      </c>
      <c r="AC30" s="87">
        <v>20</v>
      </c>
      <c r="AD30" s="66"/>
    </row>
    <row r="31" spans="2:31" ht="18" x14ac:dyDescent="0.35">
      <c r="B31" s="290"/>
      <c r="C31" s="96"/>
      <c r="D31" s="360" t="s">
        <v>140</v>
      </c>
      <c r="E31" s="361" t="s">
        <v>440</v>
      </c>
      <c r="F31" s="362"/>
      <c r="G31" s="64"/>
      <c r="H31" s="342">
        <f>IF(H17&gt;23,((H29-(H29*(H30/100)))/((100-H17)/100))/H14,((H29-H29*((H17*(H30/23))/100))/((100-H17)/100))/H14)</f>
        <v>827.49714285714288</v>
      </c>
      <c r="I31" s="342">
        <f>IF(I17&gt;23,((I29-(I29*(I30/100)))/((100-I17)/100))/I14,((I29-I29*((I17*(I30/23))/100))/((100-I17)/100))/I14)</f>
        <v>393.77454545454549</v>
      </c>
      <c r="J31" s="342">
        <f>IF(J17&gt;23,((J29-(J29*(J30/100)))/((100-J17)/100))/J14,((J29-J29*((J17*(J30/23))/100))/((100-J17)/100))/J14)</f>
        <v>263.29454545454541</v>
      </c>
      <c r="K31" s="142"/>
      <c r="L31" s="342">
        <f>IF(L17&gt;23,((L29-(L29*(L30/100)))/((100-L17)/100))/L14,((L29-L29*((L17*(L30/23))/100))/((100-L17)/100))/L14)</f>
        <v>235.76335763357633</v>
      </c>
      <c r="M31" s="142"/>
      <c r="N31" s="342">
        <f>IF(N17&gt;23,((N29-(N29*(N30/100)))/((100-N17)/100))/N14,((N29-N29*((N17*(N30/23))/100))/((100-N17)/100))/N14)</f>
        <v>652.17391304347825</v>
      </c>
      <c r="O31" s="142"/>
      <c r="P31" s="342">
        <f>IF(P17&gt;23,((P29-(P29*(P30/100)))/((100-P17)/100))/P14,((P29-P29*((P17*(P30/23))/100))/((100-P17)/100))/P14)</f>
        <v>837.00167400334806</v>
      </c>
      <c r="Q31" s="74"/>
      <c r="R31" s="325">
        <f>IF(R17&gt;23,((R29-(R29*(R30/100)))/((100-R17)/100))/R14,((R29-R29*((R17*(R30/23))/100))/((100-R17)/100))/R14)</f>
        <v>837.00167400334806</v>
      </c>
      <c r="S31" s="143"/>
      <c r="T31" s="65" t="s">
        <v>205</v>
      </c>
      <c r="U31" s="34"/>
      <c r="V31" s="34"/>
      <c r="W31" s="34"/>
      <c r="Y31" s="66"/>
      <c r="Z31" s="156">
        <f>IF(Z17&gt;23,((Z29-(Z29*(Z30/100)))/((100-Z17)/100))/Z14,((Z29-Z29*((Z17*(Z30/23))/100))/((100-Z17)/100))/Z14)</f>
        <v>754.00015834003329</v>
      </c>
      <c r="AA31" s="156">
        <f>IF(AA17&gt;23,((AA29-(AA29*(AA30/100)))/((100-AA17)/100))/AA14,((AA29-AA29*((AA17*(AA30/23))/100))/((100-AA17)/100))/AA14)</f>
        <v>837.00167400334806</v>
      </c>
      <c r="AB31" s="156">
        <f>IF(AB17&gt;23,((AB29-(AB29*(AB30/100)))/((100-AB17)/100))/AB14,((AB29-AB29*((AB17*(AB30/23))/100))/((100-AB17)/100))/AB14)</f>
        <v>652.17391304347825</v>
      </c>
      <c r="AC31" s="87">
        <v>21</v>
      </c>
      <c r="AD31" s="66"/>
    </row>
    <row r="32" spans="2:31" s="157" customFormat="1" x14ac:dyDescent="0.25">
      <c r="B32" s="286"/>
      <c r="C32" s="28"/>
      <c r="D32" s="28" t="s">
        <v>129</v>
      </c>
      <c r="E32" s="31" t="s">
        <v>397</v>
      </c>
      <c r="F32" s="285"/>
      <c r="G32" s="22"/>
      <c r="H32" s="158">
        <f>H31*((100-H17)/100)</f>
        <v>289.62399999999997</v>
      </c>
      <c r="I32" s="158">
        <f>I31*((100-I17)/100)</f>
        <v>216.57600000000005</v>
      </c>
      <c r="J32" s="158">
        <f>J31*((100-J17)/100)</f>
        <v>144.81199999999998</v>
      </c>
      <c r="K32" s="138"/>
      <c r="L32" s="158">
        <f>L31*((100-L17)/100)</f>
        <v>117.88167881678817</v>
      </c>
      <c r="M32" s="138"/>
      <c r="N32" s="158">
        <f>N31*((100-N17)/100)</f>
        <v>600</v>
      </c>
      <c r="O32" s="138"/>
      <c r="P32" s="158">
        <f>P31*((100-P17)/100)</f>
        <v>837</v>
      </c>
      <c r="Q32" s="159"/>
      <c r="R32" s="158">
        <f>R31*((100-R17)/100)</f>
        <v>837</v>
      </c>
      <c r="S32" s="139"/>
      <c r="T32" s="65" t="s">
        <v>206</v>
      </c>
      <c r="U32" s="34"/>
      <c r="V32" s="34"/>
      <c r="W32" s="147"/>
      <c r="X32" s="160"/>
      <c r="Y32" s="161"/>
      <c r="Z32" s="162">
        <f>Z31*((100-Z17)/100)</f>
        <v>754</v>
      </c>
      <c r="AA32" s="162">
        <f>AA31*((100-AA17)/100)</f>
        <v>837</v>
      </c>
      <c r="AB32" s="162">
        <f>AB31*((100-AB17)/100)</f>
        <v>600</v>
      </c>
      <c r="AC32" s="87">
        <v>22</v>
      </c>
      <c r="AD32" s="161"/>
    </row>
    <row r="33" spans="2:30" s="131" customFormat="1" ht="18" x14ac:dyDescent="0.35">
      <c r="B33" s="291"/>
      <c r="C33" s="149"/>
      <c r="D33" s="28" t="s">
        <v>130</v>
      </c>
      <c r="E33" s="31" t="s">
        <v>441</v>
      </c>
      <c r="F33" s="285"/>
      <c r="G33" s="22"/>
      <c r="H33" s="163">
        <f>H31*H17/100</f>
        <v>537.87314285714285</v>
      </c>
      <c r="I33" s="163">
        <f>I31*I17/100</f>
        <v>177.19854545454547</v>
      </c>
      <c r="J33" s="163">
        <f>J31*J17/100</f>
        <v>118.48254545454543</v>
      </c>
      <c r="K33" s="138"/>
      <c r="L33" s="163">
        <f>L31*L17/100</f>
        <v>117.88167881678817</v>
      </c>
      <c r="M33" s="138"/>
      <c r="N33" s="163">
        <f>N31*N17/100</f>
        <v>52.173913043478258</v>
      </c>
      <c r="O33" s="138"/>
      <c r="P33" s="163">
        <f>P31*P17/100</f>
        <v>1.674003348006696E-3</v>
      </c>
      <c r="Q33" s="164"/>
      <c r="R33" s="163">
        <f>R31*R17/100</f>
        <v>1.674003348006696E-3</v>
      </c>
      <c r="S33" s="139"/>
      <c r="T33" s="65" t="s">
        <v>26</v>
      </c>
      <c r="U33" s="34"/>
      <c r="V33" s="34"/>
      <c r="W33" s="148"/>
      <c r="X33" s="165"/>
      <c r="Y33" s="166"/>
      <c r="Z33" s="167">
        <f>Z31*Z17/100</f>
        <v>1.5834003325140698E-4</v>
      </c>
      <c r="AA33" s="167">
        <f>AA31*AA17/100</f>
        <v>1.674003348006696E-3</v>
      </c>
      <c r="AB33" s="167">
        <f>AB31*AB17/100</f>
        <v>52.173913043478258</v>
      </c>
      <c r="AC33" s="87">
        <v>23</v>
      </c>
      <c r="AD33" s="166"/>
    </row>
    <row r="34" spans="2:30" ht="15.75" thickBot="1" x14ac:dyDescent="0.3">
      <c r="B34" s="280"/>
      <c r="C34" s="118"/>
      <c r="D34" s="118" t="s">
        <v>57</v>
      </c>
      <c r="E34" s="119" t="s">
        <v>58</v>
      </c>
      <c r="F34" s="281"/>
      <c r="G34" s="22"/>
      <c r="H34" s="312">
        <f>1000/H31</f>
        <v>1.208463387012126</v>
      </c>
      <c r="I34" s="312">
        <f>1000/I31</f>
        <v>2.5395242316784867</v>
      </c>
      <c r="J34" s="312">
        <f>1000/J31</f>
        <v>3.7980277877523969</v>
      </c>
      <c r="K34" s="153"/>
      <c r="L34" s="312">
        <f>1000/L31</f>
        <v>4.241541221830583</v>
      </c>
      <c r="M34" s="153"/>
      <c r="N34" s="312">
        <f>1000/N31</f>
        <v>1.5333333333333334</v>
      </c>
      <c r="O34" s="153"/>
      <c r="P34" s="312">
        <f>1000/P31</f>
        <v>1.1947407407407407</v>
      </c>
      <c r="Q34" s="74"/>
      <c r="R34" s="312">
        <f>1000/R31</f>
        <v>1.1947407407407407</v>
      </c>
      <c r="S34" s="168"/>
      <c r="T34" s="65" t="s">
        <v>117</v>
      </c>
      <c r="U34" s="34"/>
      <c r="V34" s="147"/>
      <c r="W34" s="34"/>
      <c r="Y34" s="66"/>
      <c r="Z34" s="169">
        <f>1000/Z31</f>
        <v>1.3262596684350132</v>
      </c>
      <c r="AA34" s="169">
        <f>1000/AA31</f>
        <v>1.1947407407407407</v>
      </c>
      <c r="AB34" s="169">
        <f>1000/AB31</f>
        <v>1.5333333333333334</v>
      </c>
      <c r="AC34" s="87">
        <v>24</v>
      </c>
      <c r="AD34" s="66"/>
    </row>
    <row r="35" spans="2:30" ht="15.75" thickBot="1" x14ac:dyDescent="0.3">
      <c r="B35" s="65"/>
      <c r="C35" s="65"/>
      <c r="D35" s="22"/>
      <c r="E35" s="39"/>
      <c r="F35" s="39"/>
      <c r="G35" s="22"/>
      <c r="H35" s="170"/>
      <c r="I35" s="170"/>
      <c r="J35" s="170"/>
      <c r="K35" s="153"/>
      <c r="L35" s="170"/>
      <c r="M35" s="153"/>
      <c r="N35" s="170"/>
      <c r="O35" s="153"/>
      <c r="P35" s="170"/>
      <c r="Q35" s="74"/>
      <c r="R35" s="170"/>
      <c r="S35" s="168"/>
      <c r="T35" s="65" t="s">
        <v>211</v>
      </c>
      <c r="U35" s="34"/>
      <c r="V35" s="148"/>
      <c r="W35" s="34"/>
      <c r="Y35" s="66"/>
      <c r="Z35" s="170"/>
      <c r="AA35" s="170"/>
      <c r="AB35" s="170"/>
      <c r="AC35" s="87">
        <v>25</v>
      </c>
      <c r="AD35" s="66"/>
    </row>
    <row r="36" spans="2:30" x14ac:dyDescent="0.25">
      <c r="B36" s="282"/>
      <c r="C36" s="283" t="s">
        <v>65</v>
      </c>
      <c r="D36" s="132" t="s">
        <v>39</v>
      </c>
      <c r="E36" s="133" t="s">
        <v>7</v>
      </c>
      <c r="F36" s="279"/>
      <c r="G36" s="22"/>
      <c r="H36" s="313">
        <f>VLOOKUP(H13,Datenblatt!T7:W25,4,FALSE)</f>
        <v>1</v>
      </c>
      <c r="I36" s="313">
        <f>VLOOKUP(I13,Datenblatt!T7:W25,4,FALSE)</f>
        <v>1.5</v>
      </c>
      <c r="J36" s="313">
        <f>VLOOKUP(J13,Datenblatt!T7:W25,4,FALSE)</f>
        <v>1.5</v>
      </c>
      <c r="K36" s="116"/>
      <c r="L36" s="313">
        <f>VLOOKUP(L13,Datenblatt!T7:W25,4,FALSE)</f>
        <v>6</v>
      </c>
      <c r="M36" s="116"/>
      <c r="N36" s="313">
        <f>VLOOKUP(N11,Datenblatt!T7:W25,4,FALSE)</f>
        <v>0.3</v>
      </c>
      <c r="O36" s="116"/>
      <c r="P36" s="313">
        <f>HLOOKUP($P$11,$Z$11:$AA$36,AC36)</f>
        <v>0.01</v>
      </c>
      <c r="Q36" s="74"/>
      <c r="R36" s="313">
        <f>HLOOKUP($R$11,$Z$11:$AB$36,AC36)</f>
        <v>0.01</v>
      </c>
      <c r="S36" s="171"/>
      <c r="T36" s="65" t="s">
        <v>118</v>
      </c>
      <c r="U36" s="34"/>
      <c r="V36" s="34"/>
      <c r="W36" s="34"/>
      <c r="Y36" s="66"/>
      <c r="Z36" s="172">
        <v>0</v>
      </c>
      <c r="AA36" s="172">
        <f>0.01</f>
        <v>0.01</v>
      </c>
      <c r="AB36" s="172">
        <f>N36</f>
        <v>0.3</v>
      </c>
      <c r="AC36" s="87">
        <v>26</v>
      </c>
      <c r="AD36" s="66"/>
    </row>
    <row r="37" spans="2:30" ht="15.75" thickBot="1" x14ac:dyDescent="0.3">
      <c r="B37" s="280"/>
      <c r="C37" s="118"/>
      <c r="D37" s="118" t="s">
        <v>13</v>
      </c>
      <c r="E37" s="119" t="s">
        <v>4</v>
      </c>
      <c r="F37" s="281"/>
      <c r="G37" s="22"/>
      <c r="H37" s="314">
        <v>700</v>
      </c>
      <c r="I37" s="314">
        <v>700</v>
      </c>
      <c r="J37" s="314">
        <v>700</v>
      </c>
      <c r="K37" s="173"/>
      <c r="L37" s="314">
        <v>700</v>
      </c>
      <c r="M37" s="173"/>
      <c r="N37" s="314">
        <v>700</v>
      </c>
      <c r="O37" s="173"/>
      <c r="P37" s="314">
        <v>700</v>
      </c>
      <c r="Q37" s="74"/>
      <c r="R37" s="314">
        <v>700</v>
      </c>
      <c r="S37" s="174"/>
      <c r="T37" s="65" t="s">
        <v>28</v>
      </c>
      <c r="U37" s="34"/>
      <c r="V37" s="34"/>
      <c r="W37" s="34"/>
      <c r="Z37" s="175"/>
      <c r="AA37" s="175"/>
      <c r="AB37" s="176"/>
      <c r="AC37" s="87"/>
    </row>
    <row r="38" spans="2:30" ht="15.75" thickBot="1" x14ac:dyDescent="0.3">
      <c r="B38" s="65"/>
      <c r="C38" s="65"/>
      <c r="D38" s="22"/>
      <c r="E38" s="39"/>
      <c r="F38" s="39"/>
      <c r="G38" s="22"/>
      <c r="H38" s="174"/>
      <c r="I38" s="174"/>
      <c r="J38" s="174"/>
      <c r="K38" s="173"/>
      <c r="L38" s="174"/>
      <c r="M38" s="173"/>
      <c r="N38" s="174"/>
      <c r="O38" s="173"/>
      <c r="P38" s="174"/>
      <c r="Q38" s="74"/>
      <c r="R38" s="174"/>
      <c r="S38" s="174"/>
      <c r="T38" s="65" t="s">
        <v>217</v>
      </c>
      <c r="U38" s="34"/>
      <c r="V38" s="34"/>
      <c r="W38" s="34"/>
      <c r="Z38" s="145"/>
      <c r="AA38" s="145"/>
      <c r="AB38" s="145"/>
      <c r="AC38" s="87"/>
    </row>
    <row r="39" spans="2:30" ht="29.25" customHeight="1" x14ac:dyDescent="0.25">
      <c r="B39" s="292"/>
      <c r="C39" s="293" t="s">
        <v>9</v>
      </c>
      <c r="D39" s="294" t="s">
        <v>408</v>
      </c>
      <c r="E39" s="133"/>
      <c r="F39" s="279"/>
      <c r="G39" s="22"/>
      <c r="H39" s="473">
        <v>22</v>
      </c>
      <c r="I39" s="473">
        <v>84.43</v>
      </c>
      <c r="J39" s="473">
        <v>14.812883793199008</v>
      </c>
      <c r="K39" s="177"/>
      <c r="L39" s="473">
        <v>10.027490377131111</v>
      </c>
      <c r="M39" s="177"/>
      <c r="N39" s="473">
        <v>130.43478260869566</v>
      </c>
      <c r="O39" s="177"/>
      <c r="P39" s="473">
        <v>12</v>
      </c>
      <c r="Q39" s="74"/>
      <c r="R39" s="345">
        <v>0.84</v>
      </c>
      <c r="S39" s="174"/>
      <c r="T39" s="65" t="s">
        <v>220</v>
      </c>
      <c r="U39" s="34"/>
      <c r="V39" s="34"/>
      <c r="W39" s="34"/>
      <c r="Z39" s="117"/>
      <c r="AA39" s="117"/>
      <c r="AB39" s="103"/>
      <c r="AC39" s="87"/>
    </row>
    <row r="40" spans="2:30" x14ac:dyDescent="0.25">
      <c r="B40" s="287"/>
      <c r="C40" s="288" t="s">
        <v>53</v>
      </c>
      <c r="D40" s="118" t="s">
        <v>406</v>
      </c>
      <c r="E40" s="119"/>
      <c r="F40" s="281"/>
      <c r="G40" s="22"/>
      <c r="H40" s="474" t="s">
        <v>63</v>
      </c>
      <c r="I40" s="474" t="s">
        <v>369</v>
      </c>
      <c r="J40" s="474" t="s">
        <v>62</v>
      </c>
      <c r="K40" s="173"/>
      <c r="L40" s="474" t="s">
        <v>62</v>
      </c>
      <c r="M40" s="173"/>
      <c r="N40" s="474" t="s">
        <v>62</v>
      </c>
      <c r="O40" s="173"/>
      <c r="P40" s="474" t="s">
        <v>62</v>
      </c>
      <c r="Q40" s="74"/>
      <c r="R40" s="346" t="s">
        <v>63</v>
      </c>
      <c r="S40" s="174"/>
      <c r="T40" s="65" t="s">
        <v>95</v>
      </c>
      <c r="U40" s="34"/>
      <c r="V40" s="34"/>
      <c r="W40" s="34"/>
      <c r="Y40" s="178"/>
      <c r="Z40" s="102"/>
      <c r="AA40" s="102"/>
      <c r="AB40" s="103"/>
      <c r="AC40" s="87"/>
    </row>
    <row r="41" spans="2:30" x14ac:dyDescent="0.25">
      <c r="E41" s="38"/>
      <c r="F41" s="38"/>
      <c r="G41" s="22"/>
      <c r="H41" s="145"/>
      <c r="I41" s="145"/>
      <c r="J41" s="145"/>
      <c r="K41" s="179">
        <v>0</v>
      </c>
      <c r="L41" s="145"/>
      <c r="M41" s="116"/>
      <c r="N41" s="145"/>
      <c r="O41" s="116"/>
      <c r="P41" s="145"/>
      <c r="Q41" s="74"/>
      <c r="R41" s="145"/>
      <c r="S41" s="146"/>
      <c r="T41" s="65" t="s">
        <v>112</v>
      </c>
      <c r="U41" s="34"/>
      <c r="V41" s="34"/>
      <c r="W41" s="34"/>
      <c r="Z41" s="102"/>
      <c r="AA41" s="102"/>
      <c r="AB41" s="103"/>
    </row>
    <row r="42" spans="2:30" x14ac:dyDescent="0.25">
      <c r="B42" s="282"/>
      <c r="C42" s="283" t="s">
        <v>407</v>
      </c>
      <c r="D42" s="491" t="s">
        <v>409</v>
      </c>
      <c r="E42" s="295" t="s">
        <v>369</v>
      </c>
      <c r="F42" s="296"/>
      <c r="H42" s="186">
        <f>IF(H40=$E$42,H39,IF(H40=$E$43,H39/((100-H17)/100),IF(H40=$E$44,(((H39*1000/H27)*H25)/H16),IF(H40=$E$45,((H39*H25)/H16),0))))</f>
        <v>88.339602930158733</v>
      </c>
      <c r="I42" s="186">
        <f>IF(I40=$E$42,I39,IF(I40=$E$43,I39/((100-I17)/100),IF(I40=$E$44,(((I39*1000/I27)*I25)/I16),IF(I40=$E$45,((I39*I25)/I16),0))))</f>
        <v>84.43</v>
      </c>
      <c r="J42" s="186">
        <f>IF(J40=$E$42,J39,IF(J40=$E$43,J39/((100-J17)/100),IF(J40=$E$44,(((J39*1000/J27)*J25)/J16),IF(J40=$E$45,((J39*J25)/J16),0))))</f>
        <v>102.29044411512173</v>
      </c>
      <c r="K42" s="180">
        <v>0</v>
      </c>
      <c r="L42" s="326">
        <f>IF(L40=$E$42,L39,IF(L40=$E$43,L39/((100-L17)/100),IF(L40=$E$44,(((L39*1000/L27)*L25)/L16),IF(L40=$E$45,((L39*L25)/L16),0))))</f>
        <v>85.064027572222216</v>
      </c>
      <c r="M42" s="180">
        <v>0</v>
      </c>
      <c r="N42" s="326">
        <f>IF(N40=$E$42,N39,IF(N40=$E$43,N39/((100-N17)/100),IF(N40=$E$44,(((N39*1000/N27)*N25)/N16),IF(N40=$E$45,((N39*N25)/N16),0))))</f>
        <v>217.39130434782612</v>
      </c>
      <c r="O42" s="180">
        <v>0</v>
      </c>
      <c r="P42" s="326">
        <f>IF(P40=$E$42,P39,IF(P40=$E$43,P39/((100-P17)/100),IF(P40=$E$44,(((P39*1000/P27)*P25)/P16),IF(P40=$E$45,((P39*P25)/P16),0))))</f>
        <v>14.336917562724016</v>
      </c>
      <c r="Q42" s="181">
        <v>0</v>
      </c>
      <c r="R42" s="328">
        <f>IF(R40=$E$42,R39,IF(R40=$E$43,R39/((100-R17)/100),IF(R40=$E$44,(((R39*1000/R27)*R25)/R16),IF(R40=$E$45,((R39*R25)/R16),0))))</f>
        <v>10.01665492473105</v>
      </c>
      <c r="S42" s="168"/>
      <c r="T42" s="65" t="s">
        <v>111</v>
      </c>
      <c r="U42" s="65"/>
      <c r="V42" s="34"/>
      <c r="W42" s="34"/>
      <c r="Z42" s="182"/>
      <c r="AA42" s="182"/>
      <c r="AB42" s="183"/>
    </row>
    <row r="43" spans="2:30" s="66" customFormat="1" ht="15.75" thickBot="1" x14ac:dyDescent="0.3">
      <c r="B43" s="297"/>
      <c r="C43" s="184"/>
      <c r="D43" s="492"/>
      <c r="E43" s="185" t="s">
        <v>370</v>
      </c>
      <c r="F43" s="298"/>
      <c r="H43" s="186">
        <f>IF(H40=$E$43,H39,IF(H40=$E$42,H39*H16,IF(H40=$E$44,(H39*1000/H27*H25),IF(H40=$E$45,H39*H25,0))))</f>
        <v>30.918861025555554</v>
      </c>
      <c r="I43" s="186">
        <f>IF(I40=$E$43,I39,IF(I40=$E$42,I39*I16,IF(I40=$E$44,(I39*1000/I27*I25),IF(I40=$E$45,I39*I25,0))))</f>
        <v>46.436500000000009</v>
      </c>
      <c r="J43" s="186">
        <f>IF(J40=$E$43,J39,IF(J40=$E$42,J39*J16,IF(J40=$E$44,(J39*1000/J27*J25),IF(J40=$E$45,J39*J25,0))))</f>
        <v>56.259744263316954</v>
      </c>
      <c r="K43" s="180">
        <v>0</v>
      </c>
      <c r="L43" s="326">
        <f>IF(L40=$E$43,L39,IF(L40=$E$42,L39*L16,IF(L40=$E$44,(L39*1000/L27*L25),IF(L40=$E$45,L39*L25,0))))</f>
        <v>42.532013786111108</v>
      </c>
      <c r="M43" s="180">
        <v>0</v>
      </c>
      <c r="N43" s="326">
        <f>IF(N40=$E$43,N39,IF(N40=$E$42,N39*N16,IF(N40=$E$44,(N39*1000/N27*N25),IF(N40=$E$45,N39*N25,0))))</f>
        <v>200.00000000000003</v>
      </c>
      <c r="O43" s="180">
        <v>0</v>
      </c>
      <c r="P43" s="326">
        <f>IF(P40=$E$43,P39,IF(P40=$E$42,P39*P16,IF(P40=$E$44,(P39*1000/P27*P25),IF(P40=$E$45,P39*P25,0))))</f>
        <v>14.33688888888889</v>
      </c>
      <c r="Q43" s="187">
        <v>0</v>
      </c>
      <c r="R43" s="328">
        <f>IF(R40=$E$43,R39,IF(R40=$E$42,R39*R16,IF(R40=$E$44,(R39*1000/R27*R25),IF(R40=$E$45,R39*R25,0))))</f>
        <v>10.0166348914212</v>
      </c>
      <c r="S43" s="168"/>
      <c r="T43" s="65" t="s">
        <v>229</v>
      </c>
      <c r="U43" s="34"/>
      <c r="V43" s="34"/>
      <c r="W43" s="34"/>
      <c r="X43" s="25"/>
      <c r="Y43" s="26"/>
      <c r="Z43" s="188"/>
      <c r="AA43" s="188"/>
      <c r="AB43" s="189"/>
    </row>
    <row r="44" spans="2:30" ht="15.75" thickBot="1" x14ac:dyDescent="0.3">
      <c r="B44" s="297"/>
      <c r="C44" s="184"/>
      <c r="D44" s="492"/>
      <c r="E44" s="185" t="s">
        <v>62</v>
      </c>
      <c r="F44" s="298"/>
      <c r="H44" s="186">
        <f>IF(H40=$E$44,H39,IF(H40=$E$42,(H39*H16/H25*H27/1000),IF(H40=$E$43,(H39/H25*H27/1000), IF(H40=$E$45,H39*H27/1000))))</f>
        <v>25.585269159044291</v>
      </c>
      <c r="I44" s="186">
        <f>IF(I40=$E$44,I39,IF(I40=$E$42,(I39*I16/I25*I27/1000),IF(I40=$E$43,(I39/I25*I27/1000), IF(I40=$E$45,I39*I27/1000))))</f>
        <v>18.285511680000003</v>
      </c>
      <c r="J44" s="186">
        <f>IF(J40=$E$44,J39,IF(J40=$E$42,(J39*J16/J25*J27/1000),IF(J40=$E$43,(J39/J25*J27/1000), IF(J40=$E$45,J39*J27/1000))))</f>
        <v>14.812883793199008</v>
      </c>
      <c r="K44" s="180">
        <v>0</v>
      </c>
      <c r="L44" s="326">
        <f>IF(L40=$E$44,L39,IF(L40=$E$42,(L39*L16/L25*L27/1000),IF(L40=$E$43,(L39/L25*L27/1000), IF(L40=$E$45,L39*L27/1000))))</f>
        <v>10.027490377131111</v>
      </c>
      <c r="M44" s="180">
        <v>0</v>
      </c>
      <c r="N44" s="326">
        <f>IF(N40=$E$44,N39,IF(N40=$E$42,(N39*N16/N25*N27/1000),IF(N40=$E$43,(N39/N25*N27/1000), IF(N40=$E$45,N39*N27/1000))))</f>
        <v>130.43478260869566</v>
      </c>
      <c r="O44" s="180">
        <v>0</v>
      </c>
      <c r="P44" s="326">
        <f>IF(P40=$E$44,P39,IF(P40=$E$42,(P39*P16/P25*P27/1000),IF(P40=$E$43,(P39/P25*P27/1000), IF(P40=$E$45,P39*P27/1000))))</f>
        <v>12</v>
      </c>
      <c r="Q44" s="181">
        <v>0</v>
      </c>
      <c r="R44" s="329">
        <f>IF(R40=$E$44,R39,IF(R40=$E$42,(R39*R16/R25*R27/1000),IF(R40=$E$43,(R39/R25*R27/1000), IF(R40=$E$45,R39*R27/1000))))</f>
        <v>8.3839401719998889</v>
      </c>
      <c r="S44" s="168"/>
      <c r="T44" s="65" t="s">
        <v>15</v>
      </c>
      <c r="U44" s="34"/>
      <c r="V44" s="34"/>
      <c r="W44" s="34"/>
      <c r="Z44" s="190"/>
      <c r="AA44" s="190"/>
      <c r="AB44" s="190"/>
    </row>
    <row r="45" spans="2:30" ht="15.75" thickBot="1" x14ac:dyDescent="0.3">
      <c r="B45" s="297"/>
      <c r="C45" s="184"/>
      <c r="D45" s="492"/>
      <c r="E45" s="185" t="s">
        <v>63</v>
      </c>
      <c r="F45" s="299"/>
      <c r="H45" s="191">
        <f>IF(H40=$E$45,H39,IF(H40=$E$42,(H39*H16/H25),IF(H40=$E$43,H39/H25,IF(H40=$E$44,H39*1000/H27))))</f>
        <v>22</v>
      </c>
      <c r="I45" s="191">
        <f>IF(I40=$E$45,I39,IF(I40=$E$42,(I39*I16/I25),IF(I40=$E$43,I39/I25,IF(I40=$E$44,I39*1000/I27))))</f>
        <v>18.99923285429346</v>
      </c>
      <c r="J45" s="191">
        <f>IF(J40=$E$45,J39,IF(J40=$E$42,(J39*J16/J25),IF(J40=$E$43,J39/J25,IF(J40=$E$44,J39*1000/J27))))</f>
        <v>21.664170440701561</v>
      </c>
      <c r="K45" s="192"/>
      <c r="L45" s="327">
        <f>IF(L40=$E$45,L39,IF(L40=$E$42,(L39*L16/L25),IF(L40=$E$43,L39/L25,IF(L40=$E$44,L39*1000/L27))))</f>
        <v>18.499999999999996</v>
      </c>
      <c r="M45" s="192"/>
      <c r="N45" s="327">
        <f>IF(N40=$E$45,N39,IF(N40=$E$42,(N39*N16/N25),IF(N40=$E$43,N39/N25,IF(N40=$E$44,N39*1000/N27))))</f>
        <v>41.656445497919329</v>
      </c>
      <c r="O45" s="192"/>
      <c r="P45" s="327">
        <f>IF(P40=$E$45,P39,IF(P40=$E$42,(P39*P16/P25),IF(P40=$E$43,P39/P25,IF(P40=$E$44,P39*1000/P27))))</f>
        <v>1.2022986559069799</v>
      </c>
      <c r="Q45" s="164"/>
      <c r="R45" s="330">
        <f>IF(R40=$E$45,R39,IF(R40=$E$42,(R39*R16/R25),IF(R40=$E$43,R39/R25,IF(R40=$E$44,R39*1000/R27))))</f>
        <v>0.84</v>
      </c>
      <c r="S45" s="168"/>
      <c r="T45" s="65" t="s">
        <v>234</v>
      </c>
      <c r="U45" s="34"/>
      <c r="V45" s="34"/>
      <c r="W45" s="34"/>
      <c r="Z45" s="117"/>
      <c r="AA45" s="117"/>
      <c r="AB45" s="103"/>
    </row>
    <row r="46" spans="2:30" x14ac:dyDescent="0.25">
      <c r="B46" s="280"/>
      <c r="C46" s="118"/>
      <c r="D46" s="493"/>
      <c r="E46" s="300" t="s">
        <v>64</v>
      </c>
      <c r="F46" s="301"/>
      <c r="G46" s="193"/>
      <c r="H46" s="315">
        <f>H45/3.6</f>
        <v>6.1111111111111107</v>
      </c>
      <c r="I46" s="315">
        <f>I45/3.6</f>
        <v>5.2775646817481832</v>
      </c>
      <c r="J46" s="315">
        <f>J45/3.6</f>
        <v>6.0178251224170998</v>
      </c>
      <c r="K46" s="104"/>
      <c r="L46" s="315">
        <f>L45/3.6</f>
        <v>5.1388888888888875</v>
      </c>
      <c r="M46" s="104"/>
      <c r="N46" s="315">
        <f>N45/3.6</f>
        <v>11.571234860533147</v>
      </c>
      <c r="O46" s="104"/>
      <c r="P46" s="315">
        <f>P45/3.6</f>
        <v>0.33397184886304998</v>
      </c>
      <c r="Q46" s="74"/>
      <c r="R46" s="315">
        <f>R45/3.6</f>
        <v>0.23333333333333331</v>
      </c>
      <c r="S46" s="168"/>
      <c r="T46" s="65" t="s">
        <v>238</v>
      </c>
      <c r="U46" s="34"/>
      <c r="V46" s="34"/>
      <c r="W46" s="34"/>
      <c r="Z46" s="194"/>
      <c r="AA46" s="194"/>
      <c r="AB46" s="190"/>
    </row>
    <row r="47" spans="2:30" ht="15.75" thickBot="1" x14ac:dyDescent="0.3">
      <c r="B47" s="195"/>
      <c r="C47" s="196"/>
      <c r="D47" s="196"/>
      <c r="E47" s="196"/>
      <c r="F47" s="196"/>
      <c r="G47" s="195"/>
      <c r="H47" s="145"/>
      <c r="I47" s="145"/>
      <c r="J47" s="145"/>
      <c r="K47" s="116"/>
      <c r="L47" s="145"/>
      <c r="M47" s="100"/>
      <c r="N47" s="190"/>
      <c r="O47" s="100"/>
      <c r="P47" s="190"/>
      <c r="Q47" s="74"/>
      <c r="R47" s="190"/>
      <c r="S47" s="190"/>
      <c r="T47" s="65" t="s">
        <v>241</v>
      </c>
      <c r="U47" s="34"/>
      <c r="V47" s="34"/>
      <c r="W47" s="34"/>
      <c r="Z47" s="197"/>
      <c r="AA47" s="197"/>
      <c r="AB47" s="190"/>
    </row>
    <row r="48" spans="2:30" x14ac:dyDescent="0.25">
      <c r="B48" s="282"/>
      <c r="C48" s="283" t="s">
        <v>391</v>
      </c>
      <c r="D48" s="132" t="s">
        <v>387</v>
      </c>
      <c r="E48" s="133" t="s">
        <v>390</v>
      </c>
      <c r="F48" s="302"/>
      <c r="G48" s="195"/>
      <c r="H48" s="475">
        <v>11</v>
      </c>
      <c r="I48" s="475">
        <v>15</v>
      </c>
      <c r="J48" s="475">
        <v>12</v>
      </c>
      <c r="K48" s="153"/>
      <c r="L48" s="475">
        <v>9</v>
      </c>
      <c r="M48" s="198"/>
      <c r="N48" s="475">
        <v>23</v>
      </c>
      <c r="O48" s="198"/>
      <c r="P48" s="331"/>
      <c r="Q48" s="74"/>
      <c r="R48" s="331"/>
      <c r="S48" s="199"/>
      <c r="T48" s="65" t="s">
        <v>110</v>
      </c>
      <c r="U48" s="34"/>
      <c r="V48" s="34"/>
      <c r="W48" s="34"/>
      <c r="Z48" s="200"/>
      <c r="AA48" s="200"/>
      <c r="AB48" s="200"/>
    </row>
    <row r="49" spans="2:28" x14ac:dyDescent="0.25">
      <c r="B49" s="284"/>
      <c r="C49" s="124"/>
      <c r="D49" s="28"/>
      <c r="E49" s="31" t="s">
        <v>400</v>
      </c>
      <c r="F49" s="303"/>
      <c r="G49" s="195"/>
      <c r="H49" s="201"/>
      <c r="I49" s="201"/>
      <c r="J49" s="201"/>
      <c r="K49" s="100"/>
      <c r="L49" s="201"/>
      <c r="M49" s="100"/>
      <c r="N49" s="201"/>
      <c r="O49" s="100"/>
      <c r="P49" s="476">
        <v>3000</v>
      </c>
      <c r="Q49" s="74"/>
      <c r="R49" s="335">
        <v>3000</v>
      </c>
      <c r="S49" s="190"/>
      <c r="T49" s="65" t="s">
        <v>98</v>
      </c>
      <c r="U49" s="34"/>
      <c r="V49" s="34"/>
      <c r="W49" s="34"/>
      <c r="Z49" s="190"/>
      <c r="AA49" s="190"/>
      <c r="AB49" s="190"/>
    </row>
    <row r="50" spans="2:28" x14ac:dyDescent="0.25">
      <c r="B50" s="286"/>
      <c r="C50" s="28"/>
      <c r="D50" s="28" t="s">
        <v>388</v>
      </c>
      <c r="E50" s="31" t="s">
        <v>389</v>
      </c>
      <c r="F50" s="303"/>
      <c r="G50" s="195"/>
      <c r="H50" s="476">
        <v>60</v>
      </c>
      <c r="I50" s="476">
        <v>60</v>
      </c>
      <c r="J50" s="476">
        <v>60</v>
      </c>
      <c r="K50" s="138"/>
      <c r="L50" s="476">
        <v>60</v>
      </c>
      <c r="M50" s="142"/>
      <c r="N50" s="476">
        <f>40/1.2</f>
        <v>33.333333333333336</v>
      </c>
      <c r="O50" s="142"/>
      <c r="P50" s="476">
        <f>40/1.2</f>
        <v>33.333333333333336</v>
      </c>
      <c r="Q50" s="74"/>
      <c r="R50" s="335">
        <f>40/1.2</f>
        <v>33.333333333333336</v>
      </c>
      <c r="S50" s="143"/>
      <c r="T50" s="65" t="s">
        <v>250</v>
      </c>
      <c r="U50" s="34"/>
      <c r="V50" s="34"/>
      <c r="W50" s="34"/>
      <c r="Z50" s="190"/>
      <c r="AA50" s="190"/>
      <c r="AB50" s="190"/>
    </row>
    <row r="51" spans="2:28" x14ac:dyDescent="0.25">
      <c r="B51" s="280"/>
      <c r="C51" s="118"/>
      <c r="D51" s="118" t="s">
        <v>395</v>
      </c>
      <c r="E51" s="300" t="s">
        <v>396</v>
      </c>
      <c r="F51" s="304"/>
      <c r="G51" s="143"/>
      <c r="H51" s="211">
        <f>IF(H48="",,H59/H48)</f>
        <v>34.207180463385946</v>
      </c>
      <c r="I51" s="211">
        <f>IF(I48="",,I59/I48)</f>
        <v>14.424344892664781</v>
      </c>
      <c r="J51" s="211">
        <f>IF(J48="",,J59/J48)</f>
        <v>16.969687094868622</v>
      </c>
      <c r="K51" s="142"/>
      <c r="L51" s="211">
        <f>IF(L48="",,L59/L48)</f>
        <v>6.8154223734142869</v>
      </c>
      <c r="M51" s="142"/>
      <c r="N51" s="211">
        <f>IF(N48="",,N59/N48)</f>
        <v>0</v>
      </c>
      <c r="O51" s="142"/>
      <c r="P51" s="211">
        <f>IF(P49="",,P57*10^3/P49)</f>
        <v>1.1774144789328704</v>
      </c>
      <c r="Q51" s="74"/>
      <c r="R51" s="211">
        <f>IF(R49="",,R57*10^3/R49)</f>
        <v>0.94297933796625877</v>
      </c>
      <c r="S51" s="168"/>
      <c r="T51" s="65" t="s">
        <v>24</v>
      </c>
      <c r="U51" s="34"/>
      <c r="V51" s="34"/>
      <c r="W51" s="34"/>
      <c r="Z51" s="190"/>
      <c r="AA51" s="190"/>
      <c r="AB51" s="190"/>
    </row>
    <row r="52" spans="2:28" ht="15.75" thickBot="1" x14ac:dyDescent="0.3">
      <c r="B52" s="195"/>
      <c r="C52" s="196"/>
      <c r="D52" s="196"/>
      <c r="E52" s="196"/>
      <c r="F52" s="196"/>
      <c r="G52" s="195"/>
      <c r="H52" s="190"/>
      <c r="I52" s="190"/>
      <c r="J52" s="190"/>
      <c r="K52" s="100"/>
      <c r="L52" s="190"/>
      <c r="M52" s="100"/>
      <c r="N52" s="190"/>
      <c r="O52" s="100"/>
      <c r="P52" s="190"/>
      <c r="Q52" s="74"/>
      <c r="R52" s="190"/>
      <c r="S52" s="190"/>
      <c r="T52" s="65" t="s">
        <v>252</v>
      </c>
      <c r="U52" s="34"/>
      <c r="V52" s="65"/>
      <c r="W52" s="34"/>
      <c r="Z52" s="202"/>
      <c r="AA52" s="202"/>
      <c r="AB52" s="203"/>
    </row>
    <row r="53" spans="2:28" x14ac:dyDescent="0.25">
      <c r="B53" s="282"/>
      <c r="C53" s="283" t="s">
        <v>59</v>
      </c>
      <c r="D53" s="132" t="s">
        <v>401</v>
      </c>
      <c r="E53" s="133" t="s">
        <v>141</v>
      </c>
      <c r="F53" s="518">
        <f>1*1500</f>
        <v>1500</v>
      </c>
      <c r="G53" s="195"/>
      <c r="H53" s="190"/>
      <c r="I53" s="190"/>
      <c r="J53" s="190"/>
      <c r="K53" s="100"/>
      <c r="L53" s="190"/>
      <c r="M53" s="100"/>
      <c r="N53" s="190"/>
      <c r="O53" s="100"/>
      <c r="P53" s="190"/>
      <c r="Q53" s="74"/>
      <c r="R53" s="521">
        <f>160*150*10^-3</f>
        <v>24</v>
      </c>
      <c r="S53" s="190"/>
      <c r="T53" s="65" t="s">
        <v>27</v>
      </c>
      <c r="U53" s="34"/>
      <c r="V53" s="34"/>
      <c r="W53" s="34"/>
      <c r="Z53" s="204"/>
      <c r="AA53" s="204"/>
      <c r="AB53" s="139"/>
    </row>
    <row r="54" spans="2:28" x14ac:dyDescent="0.25">
      <c r="B54" s="284"/>
      <c r="C54" s="124"/>
      <c r="D54" s="28" t="s">
        <v>403</v>
      </c>
      <c r="E54" s="31" t="s">
        <v>19</v>
      </c>
      <c r="F54" s="305"/>
      <c r="G54" s="195"/>
      <c r="H54" s="519">
        <v>0.85</v>
      </c>
      <c r="I54" s="316">
        <f>$H54</f>
        <v>0.85</v>
      </c>
      <c r="J54" s="316">
        <f>$H54</f>
        <v>0.85</v>
      </c>
      <c r="K54" s="205"/>
      <c r="L54" s="316">
        <f>$H54</f>
        <v>0.85</v>
      </c>
      <c r="M54" s="206"/>
      <c r="N54" s="316">
        <f>$H54</f>
        <v>0.85</v>
      </c>
      <c r="O54" s="100"/>
      <c r="P54" s="520">
        <v>0.9</v>
      </c>
      <c r="Q54" s="74"/>
      <c r="R54" s="520">
        <v>0.85</v>
      </c>
      <c r="S54" s="190"/>
      <c r="T54" s="65" t="s">
        <v>257</v>
      </c>
      <c r="U54" s="34"/>
      <c r="V54" s="65"/>
      <c r="W54" s="34"/>
      <c r="Z54" s="207"/>
      <c r="AA54" s="207"/>
      <c r="AB54" s="139"/>
    </row>
    <row r="55" spans="2:28" x14ac:dyDescent="0.25">
      <c r="B55" s="284"/>
      <c r="C55" s="124"/>
      <c r="D55" s="28" t="s">
        <v>402</v>
      </c>
      <c r="E55" s="31" t="s">
        <v>19</v>
      </c>
      <c r="F55" s="306">
        <f>SUM(H55+I55+J55+L55+N55+P55)</f>
        <v>0.99999999999999989</v>
      </c>
      <c r="G55" s="208"/>
      <c r="H55" s="477">
        <v>0.3</v>
      </c>
      <c r="I55" s="477">
        <v>0.3</v>
      </c>
      <c r="J55" s="477">
        <v>0.3</v>
      </c>
      <c r="K55" s="100"/>
      <c r="L55" s="477">
        <v>0.08</v>
      </c>
      <c r="M55" s="209"/>
      <c r="N55" s="477">
        <v>0</v>
      </c>
      <c r="O55" s="209"/>
      <c r="P55" s="477">
        <v>0.02</v>
      </c>
      <c r="Q55" s="74"/>
      <c r="R55" s="332">
        <v>1</v>
      </c>
      <c r="S55" s="210"/>
      <c r="T55" s="65" t="s">
        <v>33</v>
      </c>
      <c r="U55" s="34"/>
      <c r="V55" s="65"/>
      <c r="W55" s="34"/>
      <c r="Z55" s="140"/>
      <c r="AA55" s="140"/>
      <c r="AB55" s="139"/>
    </row>
    <row r="56" spans="2:28" x14ac:dyDescent="0.25">
      <c r="B56" s="284"/>
      <c r="C56" s="124" t="s">
        <v>404</v>
      </c>
      <c r="D56" s="28" t="s">
        <v>41</v>
      </c>
      <c r="E56" s="31" t="s">
        <v>141</v>
      </c>
      <c r="F56" s="307">
        <f>F53*(1-P55)/H54+F53*P55/P54</f>
        <v>1762.7450980392157</v>
      </c>
      <c r="G56" s="143"/>
      <c r="H56" s="211">
        <f>Endenergie*H55</f>
        <v>528.82352941176464</v>
      </c>
      <c r="I56" s="211">
        <f>Endenergie*I55</f>
        <v>528.82352941176464</v>
      </c>
      <c r="J56" s="211">
        <f>Endenergie*J55</f>
        <v>528.82352941176464</v>
      </c>
      <c r="K56" s="198"/>
      <c r="L56" s="211">
        <f>Endenergie*L55</f>
        <v>141.01960784313727</v>
      </c>
      <c r="M56" s="153"/>
      <c r="N56" s="211">
        <f>N55</f>
        <v>0</v>
      </c>
      <c r="O56" s="153"/>
      <c r="P56" s="211">
        <f>Endenergie*P55</f>
        <v>35.254901960784316</v>
      </c>
      <c r="Q56" s="74"/>
      <c r="R56" s="333">
        <f>R53/R54</f>
        <v>28.235294117647058</v>
      </c>
      <c r="S56" s="168"/>
      <c r="T56" s="65" t="s">
        <v>262</v>
      </c>
      <c r="U56" s="34"/>
      <c r="V56" s="34"/>
      <c r="W56" s="34"/>
      <c r="Z56" s="140"/>
      <c r="AA56" s="140"/>
      <c r="AB56" s="139"/>
    </row>
    <row r="57" spans="2:28" x14ac:dyDescent="0.25">
      <c r="B57" s="286"/>
      <c r="C57" s="28"/>
      <c r="D57" s="28" t="s">
        <v>11</v>
      </c>
      <c r="E57" s="212" t="s">
        <v>45</v>
      </c>
      <c r="F57" s="307">
        <f t="shared" ref="F57:F63" si="0">SUM(H57+I57+J57+L57+N57+P57)</f>
        <v>2041.3033930425509</v>
      </c>
      <c r="G57" s="213"/>
      <c r="H57" s="211">
        <f>H56/H27*1000</f>
        <v>454.71937679210254</v>
      </c>
      <c r="I57" s="211">
        <f>I56/I27*1000</f>
        <v>549.46460071515048</v>
      </c>
      <c r="J57" s="211">
        <f>J56/J27*1000</f>
        <v>773.41611762929119</v>
      </c>
      <c r="K57" s="100"/>
      <c r="L57" s="211">
        <f>L56/L27*1000</f>
        <v>260.17105446920812</v>
      </c>
      <c r="M57" s="153"/>
      <c r="N57" s="211">
        <f>N56/N27*1000</f>
        <v>0</v>
      </c>
      <c r="O57" s="153"/>
      <c r="P57" s="211">
        <f>P56/P27*1000</f>
        <v>3.5322434367986113</v>
      </c>
      <c r="Q57" s="74"/>
      <c r="R57" s="333">
        <f>R56/R27*1000</f>
        <v>2.8289380138987763</v>
      </c>
      <c r="S57" s="168"/>
      <c r="T57" s="65" t="s">
        <v>266</v>
      </c>
      <c r="U57" s="34"/>
      <c r="V57" s="34"/>
      <c r="W57" s="34"/>
      <c r="Z57" s="140"/>
      <c r="AA57" s="140"/>
      <c r="AB57" s="139"/>
    </row>
    <row r="58" spans="2:28" x14ac:dyDescent="0.25">
      <c r="B58" s="286"/>
      <c r="C58" s="28"/>
      <c r="D58" s="28" t="s">
        <v>12</v>
      </c>
      <c r="E58" s="212" t="s">
        <v>367</v>
      </c>
      <c r="F58" s="307">
        <f t="shared" si="0"/>
        <v>396.32431341161799</v>
      </c>
      <c r="G58" s="213"/>
      <c r="H58" s="211">
        <f>H57*H32/1000</f>
        <v>131.6976447840359</v>
      </c>
      <c r="I58" s="211">
        <f>I57*I32/1000</f>
        <v>119.00084536448446</v>
      </c>
      <c r="J58" s="211">
        <f>J57*J32/1000</f>
        <v>111.9999348261329</v>
      </c>
      <c r="K58" s="100"/>
      <c r="L58" s="211">
        <f>L57*L32/1000</f>
        <v>30.669400680364291</v>
      </c>
      <c r="M58" s="153"/>
      <c r="N58" s="211">
        <f>N57*N32/1000</f>
        <v>0</v>
      </c>
      <c r="O58" s="153"/>
      <c r="P58" s="211">
        <f>P57*P32/1000</f>
        <v>2.9564877566004375</v>
      </c>
      <c r="Q58" s="74"/>
      <c r="R58" s="333">
        <f>R57*R32/1000</f>
        <v>2.3678211176332757</v>
      </c>
      <c r="S58" s="168"/>
      <c r="T58" s="65" t="s">
        <v>269</v>
      </c>
      <c r="U58" s="34"/>
      <c r="V58" s="34"/>
      <c r="W58" s="34"/>
      <c r="Z58" s="214"/>
      <c r="AA58" s="214"/>
      <c r="AB58" s="139"/>
    </row>
    <row r="59" spans="2:28" ht="15.75" thickBot="1" x14ac:dyDescent="0.3">
      <c r="B59" s="286"/>
      <c r="C59" s="28"/>
      <c r="D59" s="28" t="s">
        <v>12</v>
      </c>
      <c r="E59" s="212" t="s">
        <v>368</v>
      </c>
      <c r="F59" s="307">
        <f t="shared" si="0"/>
        <v>860.5756986559569</v>
      </c>
      <c r="G59" s="213"/>
      <c r="H59" s="211">
        <f>H57*H31/1000</f>
        <v>376.27898509724542</v>
      </c>
      <c r="I59" s="211">
        <f>I57*I31/1000</f>
        <v>216.36517338997172</v>
      </c>
      <c r="J59" s="211">
        <f>J57*J31/1000</f>
        <v>203.63624513842345</v>
      </c>
      <c r="K59" s="100"/>
      <c r="L59" s="211">
        <f>L57*L31/1000</f>
        <v>61.338801360728581</v>
      </c>
      <c r="M59" s="153"/>
      <c r="N59" s="211">
        <f>N57*N31/1000</f>
        <v>0</v>
      </c>
      <c r="O59" s="153"/>
      <c r="P59" s="211">
        <f>P57*P31/1000</f>
        <v>2.9564936695877768</v>
      </c>
      <c r="Q59" s="74"/>
      <c r="R59" s="333">
        <f>R57*R31/1000</f>
        <v>2.3678258532849821</v>
      </c>
      <c r="S59" s="168"/>
      <c r="T59" s="65" t="s">
        <v>272</v>
      </c>
      <c r="U59" s="34"/>
      <c r="V59" s="34"/>
      <c r="W59" s="34"/>
      <c r="Z59" s="215"/>
      <c r="AA59" s="215"/>
      <c r="AB59" s="200"/>
    </row>
    <row r="60" spans="2:28" x14ac:dyDescent="0.25">
      <c r="B60" s="286"/>
      <c r="C60" s="28"/>
      <c r="D60" s="28" t="s">
        <v>42</v>
      </c>
      <c r="E60" s="212" t="s">
        <v>43</v>
      </c>
      <c r="F60" s="307">
        <f t="shared" si="0"/>
        <v>9.0791686614024378</v>
      </c>
      <c r="G60" s="213"/>
      <c r="H60" s="211">
        <f>H59/(1+H17/100)*H36/100</f>
        <v>2.2804786975590634</v>
      </c>
      <c r="I60" s="211">
        <f>I59/(1+I17/100)*I36/100</f>
        <v>2.2382604143790177</v>
      </c>
      <c r="J60" s="211">
        <f>J59/(1+J17/100)*J36/100</f>
        <v>2.1065818462595529</v>
      </c>
      <c r="K60" s="100"/>
      <c r="L60" s="211">
        <f>L59/(1+L17/100)*L36/100</f>
        <v>2.4535520544291431</v>
      </c>
      <c r="M60" s="153"/>
      <c r="N60" s="211">
        <f>N59/(1+N17/100)*N36/100</f>
        <v>0</v>
      </c>
      <c r="O60" s="153"/>
      <c r="P60" s="211">
        <f>P59/(1+P17/100)*P36/100</f>
        <v>2.9564877566122636E-4</v>
      </c>
      <c r="Q60" s="74"/>
      <c r="R60" s="333">
        <f>R59/(1+R17/100)*R36/100</f>
        <v>2.3678211176427467E-4</v>
      </c>
      <c r="S60" s="168"/>
      <c r="T60" s="65" t="s">
        <v>275</v>
      </c>
      <c r="U60" s="34"/>
      <c r="V60" s="34"/>
      <c r="W60" s="34"/>
      <c r="Z60" s="200"/>
      <c r="AA60" s="200"/>
      <c r="AB60" s="200"/>
    </row>
    <row r="61" spans="2:28" x14ac:dyDescent="0.25">
      <c r="B61" s="286"/>
      <c r="C61" s="28"/>
      <c r="D61" s="28" t="s">
        <v>14</v>
      </c>
      <c r="E61" s="212" t="s">
        <v>44</v>
      </c>
      <c r="F61" s="307">
        <f t="shared" si="0"/>
        <v>12.970240944860628</v>
      </c>
      <c r="G61" s="213"/>
      <c r="H61" s="211">
        <f>H60/H37*1000</f>
        <v>3.2578267107986618</v>
      </c>
      <c r="I61" s="211">
        <f>I60/I37*1000</f>
        <v>3.197514877684311</v>
      </c>
      <c r="J61" s="211">
        <f>J60/J37*1000</f>
        <v>3.0094026375136469</v>
      </c>
      <c r="K61" s="100"/>
      <c r="L61" s="211">
        <f>L60/L37*1000</f>
        <v>3.5050743634702046</v>
      </c>
      <c r="M61" s="153"/>
      <c r="N61" s="211">
        <f>N60/N37*1000</f>
        <v>0</v>
      </c>
      <c r="O61" s="153"/>
      <c r="P61" s="211">
        <f>P60/P37*1000</f>
        <v>4.2235539380175191E-4</v>
      </c>
      <c r="Q61" s="74"/>
      <c r="R61" s="334">
        <f>R60/R37*1000</f>
        <v>3.3826015966324953E-4</v>
      </c>
      <c r="S61" s="168"/>
      <c r="T61" s="65" t="s">
        <v>101</v>
      </c>
      <c r="U61" s="34"/>
      <c r="V61" s="34"/>
      <c r="W61" s="34"/>
      <c r="Z61" s="200"/>
      <c r="AA61" s="200"/>
      <c r="AB61" s="200"/>
    </row>
    <row r="62" spans="2:28" x14ac:dyDescent="0.25">
      <c r="B62" s="286"/>
      <c r="C62" s="28"/>
      <c r="D62" s="363" t="s">
        <v>10</v>
      </c>
      <c r="E62" s="364" t="s">
        <v>66</v>
      </c>
      <c r="F62" s="365">
        <f t="shared" si="0"/>
        <v>35789.131761751691</v>
      </c>
      <c r="G62" s="143"/>
      <c r="H62" s="369">
        <f>H56*H45</f>
        <v>11634.117647058822</v>
      </c>
      <c r="I62" s="369">
        <f>I56*I45</f>
        <v>10047.241374123423</v>
      </c>
      <c r="J62" s="369">
        <f>J56*J45</f>
        <v>11456.523074229824</v>
      </c>
      <c r="K62" s="100"/>
      <c r="L62" s="369">
        <f>L56*L45</f>
        <v>2608.8627450980389</v>
      </c>
      <c r="M62" s="142"/>
      <c r="N62" s="369">
        <f>N56*N45</f>
        <v>0</v>
      </c>
      <c r="O62" s="142"/>
      <c r="P62" s="369">
        <f>P56*P45</f>
        <v>42.386921241583337</v>
      </c>
      <c r="Q62" s="74"/>
      <c r="R62" s="335">
        <f>R56*R45</f>
        <v>23.717647058823527</v>
      </c>
      <c r="S62" s="143"/>
      <c r="T62" s="65" t="s">
        <v>280</v>
      </c>
      <c r="U62" s="34"/>
      <c r="V62" s="34"/>
      <c r="W62" s="34"/>
      <c r="Z62" s="143"/>
      <c r="AA62" s="143"/>
      <c r="AB62" s="143"/>
    </row>
    <row r="63" spans="2:28" x14ac:dyDescent="0.25">
      <c r="B63" s="286"/>
      <c r="C63" s="28"/>
      <c r="D63" s="363" t="s">
        <v>398</v>
      </c>
      <c r="E63" s="364" t="s">
        <v>66</v>
      </c>
      <c r="F63" s="365">
        <f t="shared" si="0"/>
        <v>4384.2452387577805</v>
      </c>
      <c r="G63" s="143"/>
      <c r="H63" s="369">
        <f>H50*H51</f>
        <v>2052.4308278031567</v>
      </c>
      <c r="I63" s="369">
        <f>I50*I51</f>
        <v>865.46069355988686</v>
      </c>
      <c r="J63" s="369">
        <f>J50*J51</f>
        <v>1018.1812256921173</v>
      </c>
      <c r="K63" s="100"/>
      <c r="L63" s="369">
        <f>L50*L51</f>
        <v>408.92534240485719</v>
      </c>
      <c r="M63" s="142">
        <f>M50*M51</f>
        <v>0</v>
      </c>
      <c r="N63" s="369">
        <f>N50*N51</f>
        <v>0</v>
      </c>
      <c r="O63" s="142">
        <f>O50*O51</f>
        <v>0</v>
      </c>
      <c r="P63" s="369">
        <f>P50*P51</f>
        <v>39.247149297762348</v>
      </c>
      <c r="Q63" s="74"/>
      <c r="R63" s="335">
        <f>R50*R51</f>
        <v>31.432644598875296</v>
      </c>
      <c r="S63" s="143"/>
      <c r="T63" s="65" t="s">
        <v>282</v>
      </c>
      <c r="U63" s="34"/>
      <c r="V63" s="34"/>
      <c r="W63" s="34"/>
      <c r="Z63" s="216"/>
      <c r="AA63" s="216"/>
      <c r="AB63" s="216"/>
    </row>
    <row r="64" spans="2:28" x14ac:dyDescent="0.25">
      <c r="B64" s="286"/>
      <c r="C64" s="28"/>
      <c r="D64" s="28" t="s">
        <v>394</v>
      </c>
      <c r="E64" s="212" t="s">
        <v>66</v>
      </c>
      <c r="F64" s="308">
        <f>SUM(F62:F63)</f>
        <v>40173.37700050947</v>
      </c>
      <c r="G64" s="143"/>
      <c r="H64" s="217">
        <f>SUM(H62:H63)</f>
        <v>13686.548474861978</v>
      </c>
      <c r="I64" s="217">
        <f>SUM(I62:I63)</f>
        <v>10912.702067683311</v>
      </c>
      <c r="J64" s="217">
        <f>SUM(J62:J63)</f>
        <v>12474.704299921941</v>
      </c>
      <c r="K64" s="100"/>
      <c r="L64" s="217">
        <f>SUM(L62:L63)</f>
        <v>3017.7880875028959</v>
      </c>
      <c r="M64" s="142"/>
      <c r="N64" s="217">
        <f>SUM(N62:N63)</f>
        <v>0</v>
      </c>
      <c r="O64" s="142"/>
      <c r="P64" s="217">
        <f>SUM(P62:P63)</f>
        <v>81.634070539345686</v>
      </c>
      <c r="Q64" s="74"/>
      <c r="R64" s="217">
        <f>SUM(R62:R63)</f>
        <v>55.150291657698823</v>
      </c>
      <c r="S64" s="143"/>
      <c r="T64" s="65" t="s">
        <v>284</v>
      </c>
      <c r="U64" s="34"/>
      <c r="V64" s="34"/>
      <c r="W64" s="34"/>
      <c r="Z64" s="218"/>
      <c r="AA64" s="218"/>
      <c r="AB64" s="218"/>
    </row>
    <row r="65" spans="2:28" x14ac:dyDescent="0.25">
      <c r="B65" s="280"/>
      <c r="C65" s="118"/>
      <c r="D65" s="366" t="s">
        <v>405</v>
      </c>
      <c r="E65" s="367" t="s">
        <v>63</v>
      </c>
      <c r="F65" s="368">
        <f>F64/Endenergie</f>
        <v>22.790236118197807</v>
      </c>
      <c r="G65" s="105"/>
      <c r="H65" s="317">
        <f>IF(H56=0,"",H64/H56)</f>
        <v>25.881126148237335</v>
      </c>
      <c r="I65" s="317">
        <f>IF(I56=0,"",I64/I56)</f>
        <v>20.635810361581346</v>
      </c>
      <c r="J65" s="317">
        <f>IF(J56=0,"",J64/J56)</f>
        <v>23.589540945347387</v>
      </c>
      <c r="K65" s="219"/>
      <c r="L65" s="317">
        <f>IF(L56=0,"",L64/L56)</f>
        <v>21.399776482570591</v>
      </c>
      <c r="M65" s="220"/>
      <c r="N65" s="317" t="str">
        <f>IF(N56=0,"",N64/N56)</f>
        <v/>
      </c>
      <c r="O65" s="220"/>
      <c r="P65" s="317">
        <f>IF(P56=0,"",P64/P56)</f>
        <v>2.3155381521171465</v>
      </c>
      <c r="Q65" s="142"/>
      <c r="R65" s="336">
        <f>R64/R56</f>
        <v>1.9532394962101667</v>
      </c>
      <c r="S65" s="105"/>
      <c r="T65" s="65" t="s">
        <v>288</v>
      </c>
      <c r="U65" s="34"/>
      <c r="V65" s="34"/>
      <c r="W65" s="34"/>
    </row>
    <row r="66" spans="2:28" ht="13.5" customHeight="1" x14ac:dyDescent="0.25">
      <c r="H66" s="216"/>
      <c r="I66" s="216"/>
      <c r="J66" s="216"/>
      <c r="K66" s="100"/>
      <c r="L66" s="216"/>
      <c r="M66" s="221"/>
      <c r="N66" s="216"/>
      <c r="O66" s="221"/>
      <c r="P66" s="216"/>
      <c r="Q66" s="74"/>
      <c r="R66" s="216"/>
      <c r="S66" s="222"/>
      <c r="T66" s="65" t="s">
        <v>291</v>
      </c>
      <c r="U66" s="34"/>
      <c r="V66" s="34"/>
      <c r="W66" s="34"/>
    </row>
    <row r="67" spans="2:28" hidden="1" x14ac:dyDescent="0.25">
      <c r="C67" s="223"/>
      <c r="D67" s="223"/>
      <c r="E67" s="223"/>
      <c r="F67" s="223"/>
      <c r="G67" s="223"/>
      <c r="H67" s="223"/>
      <c r="I67" s="224"/>
      <c r="J67" s="225"/>
      <c r="K67" s="226"/>
      <c r="L67" s="225"/>
      <c r="M67" s="226"/>
      <c r="N67" s="225"/>
      <c r="O67" s="226"/>
      <c r="P67" s="227"/>
      <c r="R67" s="227"/>
      <c r="S67" s="228"/>
      <c r="V67" s="34"/>
      <c r="Z67" s="227"/>
      <c r="AA67" s="227"/>
      <c r="AB67" s="227"/>
    </row>
    <row r="68" spans="2:28" hidden="1" x14ac:dyDescent="0.25">
      <c r="C68" s="223"/>
      <c r="D68" s="223"/>
      <c r="E68" s="223"/>
      <c r="F68" s="223"/>
      <c r="G68" s="223"/>
      <c r="H68" s="223"/>
      <c r="I68" s="224"/>
      <c r="J68" s="225"/>
      <c r="K68" s="226"/>
      <c r="L68" s="225"/>
      <c r="M68" s="226"/>
      <c r="N68" s="225"/>
      <c r="O68" s="226"/>
      <c r="P68" s="227"/>
      <c r="R68" s="227"/>
      <c r="S68" s="228"/>
      <c r="V68" s="34"/>
      <c r="Z68" s="227"/>
      <c r="AA68" s="227"/>
      <c r="AB68" s="227"/>
    </row>
    <row r="69" spans="2:28" hidden="1" x14ac:dyDescent="0.25">
      <c r="C69" s="65"/>
      <c r="D69" s="65"/>
      <c r="E69" s="65"/>
      <c r="F69" s="68"/>
      <c r="G69" s="68"/>
      <c r="H69" s="65"/>
      <c r="I69" s="65"/>
      <c r="J69" s="78"/>
      <c r="K69" s="229"/>
      <c r="L69" s="78"/>
      <c r="M69" s="229"/>
      <c r="N69" s="78"/>
      <c r="O69" s="229"/>
      <c r="P69" s="78"/>
      <c r="R69" s="78"/>
      <c r="S69" s="230"/>
      <c r="V69" s="34"/>
      <c r="Z69" s="78"/>
      <c r="AA69" s="78"/>
      <c r="AB69" s="78"/>
    </row>
    <row r="70" spans="2:28" hidden="1" x14ac:dyDescent="0.25">
      <c r="C70" s="65"/>
      <c r="D70" s="65"/>
      <c r="E70" s="65"/>
      <c r="F70" s="92"/>
      <c r="G70" s="92"/>
      <c r="H70" s="92"/>
      <c r="I70" s="65"/>
      <c r="J70" s="78"/>
      <c r="K70" s="229"/>
      <c r="L70" s="78"/>
      <c r="M70" s="229"/>
      <c r="N70" s="78"/>
      <c r="O70" s="229"/>
      <c r="P70" s="78"/>
      <c r="R70" s="78"/>
      <c r="S70" s="230"/>
      <c r="Z70" s="78"/>
      <c r="AA70" s="78"/>
      <c r="AB70" s="78"/>
    </row>
    <row r="71" spans="2:28" s="66" customFormat="1" hidden="1" x14ac:dyDescent="0.25">
      <c r="B71" s="64"/>
      <c r="C71" s="65"/>
      <c r="D71" s="65"/>
      <c r="E71" s="65"/>
      <c r="F71" s="231"/>
      <c r="G71" s="231"/>
      <c r="H71" s="232"/>
      <c r="I71" s="233"/>
      <c r="J71" s="234"/>
      <c r="K71" s="235"/>
      <c r="L71" s="234"/>
      <c r="M71" s="235"/>
      <c r="N71" s="234"/>
      <c r="O71" s="235"/>
      <c r="P71" s="236"/>
      <c r="Q71" s="237"/>
      <c r="R71" s="236"/>
      <c r="S71" s="96"/>
      <c r="T71" s="21"/>
      <c r="U71" s="21"/>
      <c r="V71" s="21"/>
      <c r="W71" s="21"/>
      <c r="X71" s="25"/>
      <c r="Y71" s="178"/>
      <c r="Z71" s="236"/>
      <c r="AA71" s="236"/>
      <c r="AB71" s="236"/>
    </row>
    <row r="72" spans="2:28" s="66" customFormat="1" hidden="1" x14ac:dyDescent="0.25">
      <c r="B72" s="64"/>
      <c r="C72" s="65"/>
      <c r="D72" s="65"/>
      <c r="E72" s="65"/>
      <c r="F72" s="231"/>
      <c r="G72" s="231"/>
      <c r="H72" s="232"/>
      <c r="I72" s="233"/>
      <c r="J72" s="234"/>
      <c r="K72" s="235"/>
      <c r="L72" s="234"/>
      <c r="M72" s="235"/>
      <c r="N72" s="234"/>
      <c r="O72" s="235"/>
      <c r="P72" s="236"/>
      <c r="Q72" s="237"/>
      <c r="R72" s="236"/>
      <c r="S72" s="96"/>
      <c r="T72" s="21"/>
      <c r="U72" s="21"/>
      <c r="V72" s="21"/>
      <c r="W72" s="21"/>
      <c r="X72" s="25"/>
      <c r="Y72" s="178"/>
      <c r="Z72" s="236"/>
      <c r="AA72" s="236"/>
      <c r="AB72" s="236"/>
    </row>
    <row r="73" spans="2:28" hidden="1" x14ac:dyDescent="0.25">
      <c r="C73" s="223"/>
      <c r="D73" s="223"/>
      <c r="E73" s="223"/>
      <c r="F73" s="223"/>
      <c r="G73" s="223"/>
      <c r="H73" s="223"/>
      <c r="I73" s="224"/>
      <c r="J73" s="225"/>
      <c r="K73" s="226"/>
      <c r="L73" s="225"/>
      <c r="M73" s="226"/>
      <c r="N73" s="225"/>
      <c r="O73" s="226"/>
      <c r="P73" s="227"/>
      <c r="R73" s="227"/>
      <c r="S73" s="228"/>
      <c r="Z73" s="227"/>
      <c r="AA73" s="227"/>
      <c r="AB73" s="227"/>
    </row>
    <row r="74" spans="2:28" hidden="1" x14ac:dyDescent="0.25">
      <c r="C74" s="65"/>
      <c r="D74" s="65"/>
      <c r="E74" s="65"/>
      <c r="F74" s="65"/>
      <c r="G74" s="65"/>
      <c r="H74" s="65"/>
      <c r="I74" s="65"/>
      <c r="J74" s="65"/>
      <c r="K74" s="46"/>
      <c r="L74" s="65"/>
      <c r="M74" s="46"/>
      <c r="N74" s="65"/>
      <c r="O74" s="46"/>
      <c r="P74" s="65"/>
      <c r="R74" s="65"/>
      <c r="S74" s="28"/>
      <c r="Z74" s="65"/>
      <c r="AA74" s="65"/>
      <c r="AB74" s="65"/>
    </row>
    <row r="75" spans="2:28" hidden="1" x14ac:dyDescent="0.25">
      <c r="C75" s="65"/>
      <c r="D75" s="65"/>
      <c r="E75" s="65"/>
      <c r="F75" s="65"/>
      <c r="G75" s="65"/>
      <c r="H75" s="65"/>
      <c r="I75" s="65"/>
      <c r="J75" s="65"/>
      <c r="K75" s="46"/>
      <c r="L75" s="65"/>
      <c r="M75" s="46"/>
      <c r="N75" s="65"/>
      <c r="O75" s="46"/>
      <c r="P75" s="65"/>
      <c r="R75" s="65"/>
      <c r="S75" s="28"/>
      <c r="Z75" s="65"/>
      <c r="AA75" s="65"/>
      <c r="AB75" s="65"/>
    </row>
    <row r="76" spans="2:28" hidden="1" x14ac:dyDescent="0.25">
      <c r="C76" s="65"/>
      <c r="D76" s="65"/>
      <c r="E76" s="65"/>
      <c r="F76" s="65"/>
      <c r="G76" s="65"/>
      <c r="H76" s="65"/>
      <c r="I76" s="92"/>
      <c r="J76" s="92"/>
      <c r="K76" s="238"/>
      <c r="L76" s="92"/>
      <c r="M76" s="238"/>
      <c r="N76" s="92"/>
      <c r="O76" s="238"/>
      <c r="P76" s="65"/>
      <c r="R76" s="65"/>
      <c r="S76" s="28"/>
      <c r="Z76" s="65"/>
      <c r="AA76" s="65"/>
      <c r="AB76" s="65"/>
    </row>
    <row r="77" spans="2:28" s="66" customFormat="1" hidden="1" x14ac:dyDescent="0.25">
      <c r="B77" s="64"/>
      <c r="C77" s="65"/>
      <c r="D77" s="65"/>
      <c r="E77" s="65"/>
      <c r="F77" s="65"/>
      <c r="G77" s="65"/>
      <c r="H77" s="65"/>
      <c r="I77" s="92"/>
      <c r="J77" s="92"/>
      <c r="K77" s="238"/>
      <c r="L77" s="92"/>
      <c r="M77" s="238"/>
      <c r="N77" s="92"/>
      <c r="O77" s="238"/>
      <c r="P77" s="236"/>
      <c r="Q77" s="237"/>
      <c r="R77" s="236"/>
      <c r="S77" s="96"/>
      <c r="T77" s="21"/>
      <c r="U77" s="21"/>
      <c r="V77" s="21"/>
      <c r="W77" s="21"/>
      <c r="X77" s="25"/>
      <c r="Y77" s="178"/>
      <c r="Z77" s="236"/>
      <c r="AA77" s="236"/>
      <c r="AB77" s="236"/>
    </row>
    <row r="78" spans="2:28" hidden="1" x14ac:dyDescent="0.25">
      <c r="C78" s="65"/>
      <c r="D78" s="65"/>
      <c r="E78" s="65"/>
      <c r="F78" s="65"/>
      <c r="G78" s="65"/>
      <c r="H78" s="65"/>
      <c r="I78" s="65"/>
      <c r="J78" s="65"/>
      <c r="K78" s="46"/>
      <c r="L78" s="65"/>
      <c r="M78" s="46"/>
      <c r="N78" s="65"/>
      <c r="O78" s="46"/>
      <c r="P78" s="65"/>
      <c r="R78" s="65"/>
      <c r="S78" s="28"/>
      <c r="Z78" s="65"/>
      <c r="AA78" s="65"/>
      <c r="AB78" s="65"/>
    </row>
    <row r="79" spans="2:28" hidden="1" x14ac:dyDescent="0.25">
      <c r="C79" s="65"/>
      <c r="D79" s="65"/>
      <c r="E79" s="65"/>
      <c r="F79" s="65"/>
      <c r="G79" s="65"/>
      <c r="H79" s="65"/>
      <c r="I79" s="65"/>
      <c r="J79" s="65"/>
      <c r="K79" s="46"/>
      <c r="L79" s="65"/>
      <c r="M79" s="46"/>
      <c r="N79" s="65"/>
      <c r="O79" s="46"/>
      <c r="P79" s="65"/>
      <c r="R79" s="65"/>
      <c r="S79" s="28"/>
      <c r="Z79" s="65"/>
      <c r="AA79" s="65"/>
      <c r="AB79" s="65"/>
    </row>
    <row r="80" spans="2:28" hidden="1" x14ac:dyDescent="0.25">
      <c r="C80" s="65"/>
      <c r="D80" s="65"/>
      <c r="E80" s="65"/>
      <c r="F80" s="65"/>
      <c r="G80" s="65"/>
      <c r="H80" s="65"/>
      <c r="I80" s="92"/>
      <c r="J80" s="92"/>
      <c r="K80" s="238"/>
      <c r="L80" s="92"/>
      <c r="M80" s="238"/>
      <c r="N80" s="92"/>
      <c r="O80" s="238"/>
      <c r="P80" s="65"/>
      <c r="R80" s="65"/>
      <c r="S80" s="28"/>
      <c r="Z80" s="65"/>
      <c r="AA80" s="65"/>
      <c r="AB80" s="65"/>
    </row>
    <row r="81" spans="3:28" hidden="1" x14ac:dyDescent="0.25">
      <c r="C81" s="65"/>
      <c r="D81" s="65"/>
      <c r="E81" s="65"/>
      <c r="F81" s="65"/>
      <c r="G81" s="65"/>
      <c r="H81" s="65"/>
      <c r="I81" s="92"/>
      <c r="J81" s="92"/>
      <c r="K81" s="238"/>
      <c r="L81" s="92"/>
      <c r="M81" s="238"/>
      <c r="N81" s="92"/>
      <c r="O81" s="238"/>
      <c r="P81" s="236"/>
      <c r="R81" s="236"/>
      <c r="S81" s="96"/>
      <c r="Z81" s="236"/>
      <c r="AA81" s="236"/>
      <c r="AB81" s="236"/>
    </row>
    <row r="82" spans="3:28" hidden="1" x14ac:dyDescent="0.25">
      <c r="C82" s="65"/>
      <c r="D82" s="65"/>
      <c r="E82" s="65"/>
      <c r="F82" s="65"/>
      <c r="G82" s="65"/>
      <c r="H82" s="65"/>
      <c r="I82" s="65"/>
      <c r="J82" s="65"/>
      <c r="K82" s="46"/>
      <c r="L82" s="65"/>
      <c r="M82" s="46"/>
      <c r="N82" s="65"/>
      <c r="O82" s="46"/>
      <c r="P82" s="65"/>
      <c r="R82" s="65"/>
      <c r="S82" s="28"/>
      <c r="Z82" s="65"/>
      <c r="AA82" s="65"/>
      <c r="AB82" s="65"/>
    </row>
    <row r="83" spans="3:28" hidden="1" x14ac:dyDescent="0.25">
      <c r="C83" s="65"/>
      <c r="D83" s="65"/>
      <c r="E83" s="65"/>
      <c r="F83" s="65"/>
      <c r="G83" s="65"/>
      <c r="H83" s="65"/>
      <c r="I83" s="65"/>
      <c r="J83" s="65"/>
      <c r="K83" s="46"/>
      <c r="L83" s="65"/>
      <c r="M83" s="46"/>
      <c r="N83" s="65"/>
      <c r="O83" s="46"/>
      <c r="P83" s="65"/>
      <c r="R83" s="65"/>
      <c r="S83" s="28"/>
      <c r="Z83" s="65"/>
      <c r="AA83" s="65"/>
      <c r="AB83" s="65"/>
    </row>
    <row r="84" spans="3:28" hidden="1" x14ac:dyDescent="0.25">
      <c r="C84" s="65"/>
      <c r="D84" s="65"/>
      <c r="E84" s="65"/>
      <c r="F84" s="65"/>
      <c r="G84" s="65"/>
      <c r="H84" s="65"/>
      <c r="I84" s="65"/>
      <c r="J84" s="65"/>
      <c r="K84" s="46"/>
      <c r="L84" s="65"/>
      <c r="M84" s="46"/>
      <c r="N84" s="65"/>
      <c r="O84" s="46"/>
      <c r="P84" s="65"/>
      <c r="R84" s="65"/>
      <c r="S84" s="28"/>
      <c r="Z84" s="65"/>
      <c r="AA84" s="65"/>
      <c r="AB84" s="65"/>
    </row>
    <row r="85" spans="3:28" hidden="1" x14ac:dyDescent="0.25">
      <c r="C85" s="65"/>
      <c r="D85" s="65"/>
      <c r="E85" s="65"/>
      <c r="F85" s="65"/>
      <c r="G85" s="65"/>
      <c r="H85" s="65"/>
      <c r="I85" s="65"/>
      <c r="J85" s="65"/>
      <c r="K85" s="46"/>
      <c r="L85" s="65"/>
      <c r="M85" s="46"/>
      <c r="N85" s="65"/>
      <c r="O85" s="46"/>
      <c r="P85" s="65"/>
      <c r="R85" s="65"/>
      <c r="S85" s="28"/>
      <c r="Z85" s="65"/>
      <c r="AA85" s="65"/>
      <c r="AB85" s="65"/>
    </row>
    <row r="86" spans="3:28" hidden="1" x14ac:dyDescent="0.25">
      <c r="C86" s="65"/>
      <c r="D86" s="65"/>
      <c r="E86" s="65"/>
      <c r="F86" s="65"/>
      <c r="G86" s="65"/>
      <c r="H86" s="65"/>
      <c r="I86" s="65"/>
      <c r="J86" s="65"/>
      <c r="K86" s="46"/>
      <c r="L86" s="65"/>
      <c r="M86" s="46"/>
      <c r="N86" s="65"/>
      <c r="O86" s="46"/>
      <c r="P86" s="65"/>
      <c r="R86" s="65"/>
      <c r="S86" s="28"/>
      <c r="Z86" s="65"/>
      <c r="AA86" s="65"/>
      <c r="AB86" s="65"/>
    </row>
    <row r="87" spans="3:28" hidden="1" x14ac:dyDescent="0.25">
      <c r="C87" s="65"/>
      <c r="D87" s="65"/>
      <c r="E87" s="65"/>
      <c r="F87" s="65"/>
      <c r="G87" s="65"/>
      <c r="H87" s="65"/>
      <c r="I87" s="65"/>
      <c r="J87" s="65"/>
      <c r="K87" s="46"/>
      <c r="L87" s="65"/>
      <c r="M87" s="46"/>
      <c r="N87" s="65"/>
      <c r="O87" s="46"/>
      <c r="P87" s="65"/>
      <c r="R87" s="65"/>
      <c r="S87" s="28"/>
      <c r="Z87" s="65"/>
      <c r="AA87" s="65"/>
      <c r="AB87" s="65"/>
    </row>
    <row r="88" spans="3:28" hidden="1" x14ac:dyDescent="0.25"/>
    <row r="89" spans="3:28" hidden="1" x14ac:dyDescent="0.25"/>
    <row r="90" spans="3:28" hidden="1" x14ac:dyDescent="0.25"/>
    <row r="91" spans="3:28" hidden="1" x14ac:dyDescent="0.25"/>
    <row r="92" spans="3:28" hidden="1" x14ac:dyDescent="0.25"/>
    <row r="93" spans="3:28" hidden="1" x14ac:dyDescent="0.25"/>
    <row r="94" spans="3:28" hidden="1" x14ac:dyDescent="0.25"/>
    <row r="95" spans="3:28" hidden="1" x14ac:dyDescent="0.25"/>
    <row r="96" spans="3:28"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sheetData>
  <sheetProtection password="C121" sheet="1" formatCells="0" formatColumns="0" formatRows="0" insertColumns="0" insertRows="0" insertHyperlinks="0" deleteColumns="0" deleteRows="0" sort="0" autoFilter="0" pivotTables="0"/>
  <protectedRanges>
    <protectedRange password="C121" sqref="H11 I11 J11 H13:J13 L11 L13 N11 P11 H17:J17 L17 N17 H39:J40 L39:L40 N39:N40 P39:P40 H48 I48 J48 H50 I50 J50 L48 L50 N48 N50 P49:P50 H55:J55 L55 N55 P55" name="Bearbeitung"/>
  </protectedRanges>
  <customSheetViews>
    <customSheetView guid="{C0AD46E2-DB76-44EC-B12C-0C3D37E94F1D}" scale="115" showGridLines="0" printArea="1" hiddenColumns="1">
      <selection activeCell="R9" sqref="R9"/>
      <rowBreaks count="1" manualBreakCount="1">
        <brk id="71" min="1" max="16" man="1"/>
      </rowBreaks>
      <pageMargins left="0.59055118110236227" right="0.59055118110236227" top="0.39370078740157483" bottom="0.39370078740157483" header="0.51181102362204722" footer="0.51181102362204722"/>
      <printOptions horizontalCentered="1" verticalCentered="1"/>
      <pageSetup paperSize="9" scale="65" fitToHeight="2" orientation="landscape" r:id="rId1"/>
      <headerFooter alignWithMargins="0"/>
    </customSheetView>
  </customSheetViews>
  <mergeCells count="3">
    <mergeCell ref="B2:R2"/>
    <mergeCell ref="H9:J9"/>
    <mergeCell ref="D42:D46"/>
  </mergeCells>
  <phoneticPr fontId="0" type="noConversion"/>
  <conditionalFormatting sqref="F55">
    <cfRule type="cellIs" dxfId="0" priority="1" stopIfTrue="1" operator="notEqual">
      <formula>1</formula>
    </cfRule>
  </conditionalFormatting>
  <dataValidations count="17">
    <dataValidation type="list" allowBlank="1" showInputMessage="1" showErrorMessage="1" sqref="L11">
      <formula1>W11:W12</formula1>
    </dataValidation>
    <dataValidation type="list" allowBlank="1" showInputMessage="1" showErrorMessage="1" sqref="N11">
      <formula1>U11:U14</formula1>
    </dataValidation>
    <dataValidation type="whole" allowBlank="1" showInputMessage="1" showErrorMessage="1" errorTitle="Achtung zu hoher Wassergehalt!" error="entsprechende der gültigen Ö-Norm M7133 liegt der Wassergehalt für Presslinge zwischen 8 und 10 %" sqref="O17">
      <formula1>0</formula1>
      <formula2>10</formula2>
    </dataValidation>
    <dataValidation type="decimal" allowBlank="1" showInputMessage="1" showErrorMessage="1" errorTitle="Achtung Eingabefehler" error="Eingabewert darf nicht 0 sein" sqref="R14:S14 P14">
      <formula1>0.01</formula1>
      <formula2>1000</formula2>
    </dataValidation>
    <dataValidation type="decimal" allowBlank="1" showInputMessage="1" showErrorMessage="1" errorTitle="Achtung zu hoher Wassergehalt!" error="entsprechend ÖNORM M 7135 ist der Wassergehalt bei  Holzpresslingen &lt; 10 % und bei Rindenpresslingen &lt; 18 %" sqref="N17">
      <formula1>0</formula1>
      <formula2>18</formula2>
    </dataValidation>
    <dataValidation type="decimal" allowBlank="1" showInputMessage="1" showErrorMessage="1" errorTitle="Achtung zu hoher Wassergehalt!" error="Die Eingabe des Wassergehalts ist auf maximal 80 % beschränkt!" sqref="L17 R19:S19 H17:J17 P19">
      <formula1>0</formula1>
      <formula2>80</formula2>
    </dataValidation>
    <dataValidation type="list" allowBlank="1" showInputMessage="1" showErrorMessage="1" sqref="L13">
      <formula1>V24:V25</formula1>
    </dataValidation>
    <dataValidation type="list" allowBlank="1" showInputMessage="1" showErrorMessage="1" sqref="J13">
      <formula1>V11:V23</formula1>
    </dataValidation>
    <dataValidation type="list" allowBlank="1" showInputMessage="1" showErrorMessage="1" sqref="H13">
      <formula1>V11:V23</formula1>
    </dataValidation>
    <dataValidation type="list" allowBlank="1" showInputMessage="1" showErrorMessage="1" sqref="I13">
      <formula1>V11:V23</formula1>
    </dataValidation>
    <dataValidation type="list" allowBlank="1" showInputMessage="1" showErrorMessage="1" sqref="S11 P11">
      <formula1>$X$11:$X$12</formula1>
    </dataValidation>
    <dataValidation type="list" allowBlank="1" showInputMessage="1" showErrorMessage="1" sqref="R11">
      <formula1>$X$11:$X$13</formula1>
    </dataValidation>
    <dataValidation type="whole" errorStyle="warning" operator="notEqual" allowBlank="1" showInputMessage="1" showErrorMessage="1" errorTitle="Achtung Eingabefehler!" error="Summe der Brennstoffanteile muss 100% sein" sqref="F57:G61 F55:G55">
      <formula1>100</formula1>
    </dataValidation>
    <dataValidation type="list" allowBlank="1" showInputMessage="1" showErrorMessage="1" sqref="H40:J40 L40 N40 P40 R40">
      <formula1>$E$42:$E$45</formula1>
    </dataValidation>
    <dataValidation type="list" allowBlank="1" showInputMessage="1" showErrorMessage="1" sqref="J11">
      <formula1>T11:T66</formula1>
    </dataValidation>
    <dataValidation type="list" allowBlank="1" showInputMessage="1" showErrorMessage="1" sqref="I11">
      <formula1>T11:T66</formula1>
    </dataValidation>
    <dataValidation type="list" allowBlank="1" showInputMessage="1" showErrorMessage="1" sqref="H11">
      <formula1>T11:T66</formula1>
    </dataValidation>
  </dataValidations>
  <printOptions horizontalCentered="1" verticalCentered="1"/>
  <pageMargins left="0.59055118110236227" right="0.59055118110236227" top="0.39370078740157483" bottom="0.39370078740157483" header="0.51181102362204722" footer="0.51181102362204722"/>
  <pageSetup paperSize="9" scale="65" fitToHeight="2" orientation="landscape" r:id="rId2"/>
  <headerFooter alignWithMargins="0"/>
  <cellWatches>
    <cellWatch r="F55"/>
  </cellWatches>
  <ignoredErrors>
    <ignoredError sqref="H23:J23 H25:J25 L25 N23" formula="1"/>
  </ignoredErrors>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A1:X92"/>
  <sheetViews>
    <sheetView showGridLines="0" zoomScale="62" zoomScaleNormal="100" workbookViewId="0">
      <pane ySplit="6" topLeftCell="A11" activePane="bottomLeft" state="frozen"/>
      <selection pane="bottomLeft" activeCell="F26" sqref="F26"/>
    </sheetView>
  </sheetViews>
  <sheetFormatPr baseColWidth="10" defaultColWidth="0" defaultRowHeight="15" x14ac:dyDescent="0.25"/>
  <cols>
    <col min="1" max="1" width="4.140625" style="239" customWidth="1"/>
    <col min="2" max="2" width="26.140625" style="239" customWidth="1"/>
    <col min="3" max="3" width="11.28515625" style="239" customWidth="1"/>
    <col min="4" max="4" width="19.5703125" style="239" customWidth="1"/>
    <col min="5" max="5" width="29.7109375" style="239" bestFit="1" customWidth="1"/>
    <col min="6" max="6" width="17.140625" style="239" bestFit="1" customWidth="1"/>
    <col min="7" max="8" width="9.7109375" style="240" customWidth="1"/>
    <col min="9" max="9" width="9.7109375" style="241" customWidth="1"/>
    <col min="10" max="15" width="9.7109375" style="239" customWidth="1"/>
    <col min="16" max="16" width="9.7109375" style="242" customWidth="1"/>
    <col min="17" max="17" width="9.7109375" style="240" customWidth="1"/>
    <col min="18" max="18" width="62.5703125" style="239" bestFit="1" customWidth="1"/>
    <col min="19" max="19" width="7" style="239" customWidth="1"/>
    <col min="20" max="20" width="24.5703125" style="239" bestFit="1" customWidth="1"/>
    <col min="21" max="21" width="12.42578125" style="239" bestFit="1" customWidth="1"/>
    <col min="22" max="22" width="7.28515625" style="239" bestFit="1" customWidth="1"/>
    <col min="23" max="23" width="13" style="239" bestFit="1" customWidth="1"/>
    <col min="24" max="24" width="11.42578125" style="239" customWidth="1"/>
    <col min="25" max="16384" width="11.42578125" style="239" hidden="1"/>
  </cols>
  <sheetData>
    <row r="1" spans="2:23" ht="23.25" customHeight="1" x14ac:dyDescent="0.25"/>
    <row r="2" spans="2:23" s="264" customFormat="1" ht="21" x14ac:dyDescent="0.2">
      <c r="B2" s="465" t="s">
        <v>347</v>
      </c>
      <c r="C2" s="466"/>
      <c r="D2" s="466"/>
      <c r="E2" s="466"/>
      <c r="F2" s="466"/>
      <c r="G2" s="467"/>
      <c r="H2" s="467"/>
      <c r="I2" s="468"/>
      <c r="J2" s="466"/>
      <c r="K2" s="466"/>
      <c r="L2" s="466"/>
      <c r="M2" s="466"/>
      <c r="N2" s="466"/>
      <c r="O2" s="466"/>
      <c r="P2" s="469"/>
      <c r="Q2" s="467"/>
      <c r="R2" s="466"/>
      <c r="S2" s="466"/>
      <c r="T2" s="466"/>
      <c r="U2" s="466"/>
      <c r="V2" s="466"/>
      <c r="W2" s="466"/>
    </row>
    <row r="4" spans="2:23" x14ac:dyDescent="0.25">
      <c r="B4" s="496" t="s">
        <v>119</v>
      </c>
      <c r="C4" s="496" t="s">
        <v>143</v>
      </c>
      <c r="D4" s="496" t="s">
        <v>142</v>
      </c>
      <c r="E4" s="496" t="s">
        <v>145</v>
      </c>
      <c r="F4" s="496" t="s">
        <v>30</v>
      </c>
      <c r="G4" s="494" t="s">
        <v>151</v>
      </c>
      <c r="H4" s="496" t="s">
        <v>341</v>
      </c>
      <c r="I4" s="498" t="s">
        <v>144</v>
      </c>
      <c r="J4" s="501" t="s">
        <v>337</v>
      </c>
      <c r="K4" s="502"/>
      <c r="L4" s="501" t="s">
        <v>338</v>
      </c>
      <c r="M4" s="501"/>
      <c r="N4" s="501"/>
      <c r="O4" s="501"/>
      <c r="P4" s="501" t="s">
        <v>345</v>
      </c>
      <c r="Q4" s="501"/>
      <c r="R4" s="496" t="s">
        <v>72</v>
      </c>
      <c r="T4" s="496" t="s">
        <v>49</v>
      </c>
      <c r="U4" s="496" t="s">
        <v>50</v>
      </c>
      <c r="V4" s="496" t="s">
        <v>53</v>
      </c>
      <c r="W4" s="496" t="s">
        <v>51</v>
      </c>
    </row>
    <row r="5" spans="2:23" s="244" customFormat="1" x14ac:dyDescent="0.2">
      <c r="B5" s="497"/>
      <c r="C5" s="497"/>
      <c r="D5" s="497"/>
      <c r="E5" s="497"/>
      <c r="F5" s="497"/>
      <c r="G5" s="495"/>
      <c r="H5" s="497"/>
      <c r="I5" s="499"/>
      <c r="J5" s="434" t="s">
        <v>342</v>
      </c>
      <c r="K5" s="441" t="s">
        <v>340</v>
      </c>
      <c r="L5" s="434" t="s">
        <v>344</v>
      </c>
      <c r="M5" s="434" t="s">
        <v>342</v>
      </c>
      <c r="N5" s="434" t="s">
        <v>343</v>
      </c>
      <c r="O5" s="434" t="s">
        <v>339</v>
      </c>
      <c r="P5" s="435" t="s">
        <v>346</v>
      </c>
      <c r="Q5" s="436" t="s">
        <v>339</v>
      </c>
      <c r="R5" s="497"/>
      <c r="T5" s="497"/>
      <c r="U5" s="497"/>
      <c r="V5" s="497"/>
      <c r="W5" s="497"/>
    </row>
    <row r="6" spans="2:23" s="245" customFormat="1" ht="15.75" thickBot="1" x14ac:dyDescent="0.25">
      <c r="B6" s="500"/>
      <c r="C6" s="500"/>
      <c r="D6" s="500"/>
      <c r="E6" s="500"/>
      <c r="F6" s="500"/>
      <c r="G6" s="437"/>
      <c r="H6" s="438" t="s">
        <v>348</v>
      </c>
      <c r="I6" s="438" t="s">
        <v>349</v>
      </c>
      <c r="J6" s="439" t="s">
        <v>350</v>
      </c>
      <c r="K6" s="442"/>
      <c r="L6" s="439" t="s">
        <v>350</v>
      </c>
      <c r="M6" s="439" t="s">
        <v>350</v>
      </c>
      <c r="N6" s="439" t="s">
        <v>350</v>
      </c>
      <c r="O6" s="439"/>
      <c r="P6" s="438" t="s">
        <v>348</v>
      </c>
      <c r="Q6" s="440"/>
      <c r="R6" s="500"/>
      <c r="T6" s="500"/>
      <c r="U6" s="500"/>
      <c r="V6" s="500"/>
      <c r="W6" s="500"/>
    </row>
    <row r="7" spans="2:23" s="243" customFormat="1" ht="60" x14ac:dyDescent="0.2">
      <c r="B7" s="395" t="s">
        <v>29</v>
      </c>
      <c r="C7" s="396" t="s">
        <v>70</v>
      </c>
      <c r="D7" s="397" t="s">
        <v>70</v>
      </c>
      <c r="E7" s="397" t="s">
        <v>70</v>
      </c>
      <c r="F7" s="398" t="s">
        <v>124</v>
      </c>
      <c r="G7" s="399">
        <v>1</v>
      </c>
      <c r="H7" s="400">
        <v>6.17</v>
      </c>
      <c r="I7" s="401">
        <v>20.206035400000001</v>
      </c>
      <c r="J7" s="402">
        <v>475</v>
      </c>
      <c r="K7" s="403" t="s">
        <v>107</v>
      </c>
      <c r="L7" s="402" t="s">
        <v>152</v>
      </c>
      <c r="M7" s="402" t="s">
        <v>152</v>
      </c>
      <c r="N7" s="402" t="s">
        <v>152</v>
      </c>
      <c r="O7" s="403" t="s">
        <v>70</v>
      </c>
      <c r="P7" s="400">
        <v>12.3</v>
      </c>
      <c r="Q7" s="403" t="s">
        <v>107</v>
      </c>
      <c r="R7" s="404" t="s">
        <v>358</v>
      </c>
      <c r="T7" s="373" t="s">
        <v>361</v>
      </c>
      <c r="U7" s="246">
        <v>1</v>
      </c>
      <c r="V7" s="247" t="s">
        <v>52</v>
      </c>
      <c r="W7" s="374">
        <v>1.5</v>
      </c>
    </row>
    <row r="8" spans="2:23" s="243" customFormat="1" ht="45" x14ac:dyDescent="0.2">
      <c r="B8" s="405" t="s">
        <v>16</v>
      </c>
      <c r="C8" s="406" t="s">
        <v>70</v>
      </c>
      <c r="D8" s="407" t="s">
        <v>70</v>
      </c>
      <c r="E8" s="407" t="s">
        <v>70</v>
      </c>
      <c r="F8" s="408" t="s">
        <v>35</v>
      </c>
      <c r="G8" s="409">
        <v>2</v>
      </c>
      <c r="H8" s="410">
        <v>6.2</v>
      </c>
      <c r="I8" s="411">
        <v>20.3669431</v>
      </c>
      <c r="J8" s="412">
        <v>445</v>
      </c>
      <c r="K8" s="413" t="s">
        <v>107</v>
      </c>
      <c r="L8" s="412" t="s">
        <v>152</v>
      </c>
      <c r="M8" s="412" t="s">
        <v>152</v>
      </c>
      <c r="N8" s="412" t="s">
        <v>152</v>
      </c>
      <c r="O8" s="413" t="s">
        <v>70</v>
      </c>
      <c r="P8" s="410">
        <v>11.7</v>
      </c>
      <c r="Q8" s="413" t="s">
        <v>107</v>
      </c>
      <c r="R8" s="414" t="s">
        <v>153</v>
      </c>
      <c r="T8" s="370" t="s">
        <v>383</v>
      </c>
      <c r="U8" s="246">
        <v>1.6667000000000001</v>
      </c>
      <c r="V8" s="247" t="s">
        <v>54</v>
      </c>
      <c r="W8" s="374">
        <v>1</v>
      </c>
    </row>
    <row r="9" spans="2:23" s="243" customFormat="1" ht="30" x14ac:dyDescent="0.2">
      <c r="B9" s="375" t="s">
        <v>37</v>
      </c>
      <c r="C9" s="376" t="s">
        <v>73</v>
      </c>
      <c r="D9" s="377" t="s">
        <v>154</v>
      </c>
      <c r="E9" s="377" t="s">
        <v>70</v>
      </c>
      <c r="F9" s="378" t="s">
        <v>125</v>
      </c>
      <c r="G9" s="379">
        <v>3</v>
      </c>
      <c r="H9" s="380">
        <v>6.2</v>
      </c>
      <c r="I9" s="381">
        <v>20.3669431</v>
      </c>
      <c r="J9" s="382">
        <v>470</v>
      </c>
      <c r="K9" s="383" t="s">
        <v>71</v>
      </c>
      <c r="L9" s="382">
        <v>350</v>
      </c>
      <c r="M9" s="382">
        <v>502</v>
      </c>
      <c r="N9" s="382">
        <v>770</v>
      </c>
      <c r="O9" s="384" t="s">
        <v>71</v>
      </c>
      <c r="P9" s="380">
        <v>11.9</v>
      </c>
      <c r="Q9" s="384" t="s">
        <v>71</v>
      </c>
      <c r="R9" s="385"/>
      <c r="T9" s="375" t="s">
        <v>362</v>
      </c>
      <c r="U9" s="386">
        <v>1.25</v>
      </c>
      <c r="V9" s="387" t="s">
        <v>54</v>
      </c>
      <c r="W9" s="388">
        <v>1</v>
      </c>
    </row>
    <row r="10" spans="2:23" s="243" customFormat="1" x14ac:dyDescent="0.2">
      <c r="B10" s="370" t="s">
        <v>155</v>
      </c>
      <c r="C10" s="248" t="s">
        <v>70</v>
      </c>
      <c r="D10" s="249" t="s">
        <v>156</v>
      </c>
      <c r="E10" s="249" t="s">
        <v>70</v>
      </c>
      <c r="F10" s="250" t="s">
        <v>125</v>
      </c>
      <c r="G10" s="251">
        <v>3</v>
      </c>
      <c r="H10" s="252">
        <v>6.2</v>
      </c>
      <c r="I10" s="253">
        <v>20.3669431</v>
      </c>
      <c r="J10" s="254">
        <v>640</v>
      </c>
      <c r="K10" s="255" t="s">
        <v>157</v>
      </c>
      <c r="L10" s="254">
        <v>640</v>
      </c>
      <c r="M10" s="254">
        <v>670</v>
      </c>
      <c r="N10" s="254">
        <v>810</v>
      </c>
      <c r="O10" s="256" t="s">
        <v>157</v>
      </c>
      <c r="P10" s="252">
        <v>8.8000000000000007</v>
      </c>
      <c r="Q10" s="256" t="s">
        <v>157</v>
      </c>
      <c r="R10" s="371"/>
      <c r="T10" s="370" t="s">
        <v>363</v>
      </c>
      <c r="U10" s="246">
        <v>2</v>
      </c>
      <c r="V10" s="247" t="s">
        <v>121</v>
      </c>
      <c r="W10" s="374">
        <v>1</v>
      </c>
    </row>
    <row r="11" spans="2:23" s="243" customFormat="1" ht="60" x14ac:dyDescent="0.2">
      <c r="B11" s="375" t="s">
        <v>18</v>
      </c>
      <c r="C11" s="376" t="s">
        <v>74</v>
      </c>
      <c r="D11" s="377" t="s">
        <v>158</v>
      </c>
      <c r="E11" s="377" t="s">
        <v>159</v>
      </c>
      <c r="F11" s="378" t="s">
        <v>125</v>
      </c>
      <c r="G11" s="379">
        <v>3</v>
      </c>
      <c r="H11" s="380">
        <v>6.2</v>
      </c>
      <c r="I11" s="381">
        <v>20.3669431</v>
      </c>
      <c r="J11" s="382">
        <v>410</v>
      </c>
      <c r="K11" s="383" t="s">
        <v>385</v>
      </c>
      <c r="L11" s="382">
        <v>330</v>
      </c>
      <c r="M11" s="382">
        <v>470</v>
      </c>
      <c r="N11" s="382">
        <v>680</v>
      </c>
      <c r="O11" s="384" t="s">
        <v>106</v>
      </c>
      <c r="P11" s="380">
        <v>11.7</v>
      </c>
      <c r="Q11" s="384" t="s">
        <v>71</v>
      </c>
      <c r="R11" s="385" t="s">
        <v>352</v>
      </c>
      <c r="T11" s="375" t="s">
        <v>373</v>
      </c>
      <c r="U11" s="386">
        <v>2.5</v>
      </c>
      <c r="V11" s="387" t="s">
        <v>121</v>
      </c>
      <c r="W11" s="388">
        <v>1.5</v>
      </c>
    </row>
    <row r="12" spans="2:23" s="243" customFormat="1" x14ac:dyDescent="0.2">
      <c r="B12" s="370" t="s">
        <v>160</v>
      </c>
      <c r="C12" s="248" t="s">
        <v>161</v>
      </c>
      <c r="D12" s="249" t="s">
        <v>162</v>
      </c>
      <c r="E12" s="249" t="s">
        <v>70</v>
      </c>
      <c r="F12" s="250" t="s">
        <v>125</v>
      </c>
      <c r="G12" s="251">
        <v>3</v>
      </c>
      <c r="H12" s="252">
        <v>6.2</v>
      </c>
      <c r="I12" s="253">
        <v>20.3669431</v>
      </c>
      <c r="J12" s="254">
        <v>410</v>
      </c>
      <c r="K12" s="255" t="s">
        <v>71</v>
      </c>
      <c r="L12" s="254">
        <v>280</v>
      </c>
      <c r="M12" s="254">
        <v>450</v>
      </c>
      <c r="N12" s="254">
        <v>660</v>
      </c>
      <c r="O12" s="256" t="s">
        <v>106</v>
      </c>
      <c r="P12" s="252">
        <v>12.2</v>
      </c>
      <c r="Q12" s="256" t="s">
        <v>106</v>
      </c>
      <c r="R12" s="371"/>
      <c r="T12" s="370" t="s">
        <v>374</v>
      </c>
      <c r="U12" s="246">
        <v>2.5</v>
      </c>
      <c r="V12" s="247" t="s">
        <v>121</v>
      </c>
      <c r="W12" s="374">
        <v>1.5</v>
      </c>
    </row>
    <row r="13" spans="2:23" s="243" customFormat="1" x14ac:dyDescent="0.2">
      <c r="B13" s="375" t="s">
        <v>163</v>
      </c>
      <c r="C13" s="376" t="s">
        <v>164</v>
      </c>
      <c r="D13" s="377" t="s">
        <v>165</v>
      </c>
      <c r="E13" s="377" t="s">
        <v>166</v>
      </c>
      <c r="F13" s="378" t="s">
        <v>125</v>
      </c>
      <c r="G13" s="379">
        <v>3</v>
      </c>
      <c r="H13" s="380">
        <v>6.2</v>
      </c>
      <c r="I13" s="381">
        <v>20.3669431</v>
      </c>
      <c r="J13" s="382">
        <v>440</v>
      </c>
      <c r="K13" s="383" t="s">
        <v>157</v>
      </c>
      <c r="L13" s="382">
        <v>440</v>
      </c>
      <c r="M13" s="382">
        <v>480</v>
      </c>
      <c r="N13" s="382">
        <v>510</v>
      </c>
      <c r="O13" s="384" t="s">
        <v>157</v>
      </c>
      <c r="P13" s="380">
        <v>12.7</v>
      </c>
      <c r="Q13" s="384" t="s">
        <v>157</v>
      </c>
      <c r="R13" s="385"/>
      <c r="T13" s="375" t="s">
        <v>382</v>
      </c>
      <c r="U13" s="386">
        <v>2.5</v>
      </c>
      <c r="V13" s="387" t="s">
        <v>121</v>
      </c>
      <c r="W13" s="388">
        <v>1.5</v>
      </c>
    </row>
    <row r="14" spans="2:23" s="243" customFormat="1" ht="30" x14ac:dyDescent="0.2">
      <c r="B14" s="370" t="s">
        <v>167</v>
      </c>
      <c r="C14" s="248" t="s">
        <v>79</v>
      </c>
      <c r="D14" s="249" t="s">
        <v>168</v>
      </c>
      <c r="E14" s="249" t="s">
        <v>169</v>
      </c>
      <c r="F14" s="250" t="s">
        <v>125</v>
      </c>
      <c r="G14" s="251">
        <v>3</v>
      </c>
      <c r="H14" s="252">
        <v>6.2</v>
      </c>
      <c r="I14" s="253">
        <v>20.3669431</v>
      </c>
      <c r="J14" s="254">
        <v>510</v>
      </c>
      <c r="K14" s="255" t="s">
        <v>71</v>
      </c>
      <c r="L14" s="254">
        <v>333</v>
      </c>
      <c r="M14" s="254">
        <v>543</v>
      </c>
      <c r="N14" s="254">
        <v>890</v>
      </c>
      <c r="O14" s="256" t="s">
        <v>71</v>
      </c>
      <c r="P14" s="252">
        <v>12.1</v>
      </c>
      <c r="Q14" s="256" t="s">
        <v>71</v>
      </c>
      <c r="R14" s="371" t="s">
        <v>174</v>
      </c>
      <c r="T14" s="370" t="s">
        <v>376</v>
      </c>
      <c r="U14" s="246">
        <v>2.5</v>
      </c>
      <c r="V14" s="247" t="s">
        <v>121</v>
      </c>
      <c r="W14" s="374">
        <v>2</v>
      </c>
    </row>
    <row r="15" spans="2:23" s="243" customFormat="1" ht="30" x14ac:dyDescent="0.2">
      <c r="B15" s="375" t="s">
        <v>170</v>
      </c>
      <c r="C15" s="376" t="s">
        <v>171</v>
      </c>
      <c r="D15" s="377" t="s">
        <v>172</v>
      </c>
      <c r="E15" s="377" t="s">
        <v>173</v>
      </c>
      <c r="F15" s="378" t="s">
        <v>125</v>
      </c>
      <c r="G15" s="379">
        <v>3</v>
      </c>
      <c r="H15" s="380">
        <v>6.2</v>
      </c>
      <c r="I15" s="381">
        <v>20.3669431</v>
      </c>
      <c r="J15" s="382">
        <v>380</v>
      </c>
      <c r="K15" s="383" t="s">
        <v>71</v>
      </c>
      <c r="L15" s="382">
        <v>430</v>
      </c>
      <c r="M15" s="382" t="s">
        <v>152</v>
      </c>
      <c r="N15" s="382">
        <v>590</v>
      </c>
      <c r="O15" s="384" t="s">
        <v>71</v>
      </c>
      <c r="P15" s="380">
        <v>7.1</v>
      </c>
      <c r="Q15" s="384" t="s">
        <v>157</v>
      </c>
      <c r="R15" s="385" t="s">
        <v>175</v>
      </c>
      <c r="T15" s="375" t="s">
        <v>377</v>
      </c>
      <c r="U15" s="386">
        <v>2.5</v>
      </c>
      <c r="V15" s="387" t="s">
        <v>121</v>
      </c>
      <c r="W15" s="388">
        <v>3</v>
      </c>
    </row>
    <row r="16" spans="2:23" s="243" customFormat="1" ht="45" x14ac:dyDescent="0.2">
      <c r="B16" s="370" t="s">
        <v>108</v>
      </c>
      <c r="C16" s="248" t="s">
        <v>76</v>
      </c>
      <c r="D16" s="249" t="s">
        <v>176</v>
      </c>
      <c r="E16" s="249" t="s">
        <v>70</v>
      </c>
      <c r="F16" s="250" t="s">
        <v>125</v>
      </c>
      <c r="G16" s="251">
        <v>3</v>
      </c>
      <c r="H16" s="252">
        <v>6.2</v>
      </c>
      <c r="I16" s="253">
        <v>20.3669431</v>
      </c>
      <c r="J16" s="254">
        <v>560</v>
      </c>
      <c r="K16" s="255" t="s">
        <v>71</v>
      </c>
      <c r="L16" s="254">
        <v>370</v>
      </c>
      <c r="M16" s="254">
        <v>593</v>
      </c>
      <c r="N16" s="254">
        <v>950</v>
      </c>
      <c r="O16" s="256" t="s">
        <v>71</v>
      </c>
      <c r="P16" s="252">
        <v>13</v>
      </c>
      <c r="Q16" s="256" t="s">
        <v>71</v>
      </c>
      <c r="R16" s="371" t="s">
        <v>351</v>
      </c>
      <c r="T16" s="370" t="s">
        <v>378</v>
      </c>
      <c r="U16" s="246">
        <v>2.5</v>
      </c>
      <c r="V16" s="247" t="s">
        <v>121</v>
      </c>
      <c r="W16" s="374">
        <v>5</v>
      </c>
    </row>
    <row r="17" spans="2:23" s="243" customFormat="1" ht="30" x14ac:dyDescent="0.2">
      <c r="B17" s="375" t="s">
        <v>109</v>
      </c>
      <c r="C17" s="376" t="s">
        <v>79</v>
      </c>
      <c r="D17" s="377" t="s">
        <v>168</v>
      </c>
      <c r="E17" s="377" t="s">
        <v>177</v>
      </c>
      <c r="F17" s="378" t="s">
        <v>125</v>
      </c>
      <c r="G17" s="379">
        <v>3</v>
      </c>
      <c r="H17" s="380">
        <v>6.2</v>
      </c>
      <c r="I17" s="381">
        <v>20.3669431</v>
      </c>
      <c r="J17" s="382">
        <v>510</v>
      </c>
      <c r="K17" s="383" t="s">
        <v>71</v>
      </c>
      <c r="L17" s="382">
        <v>333</v>
      </c>
      <c r="M17" s="382">
        <v>543</v>
      </c>
      <c r="N17" s="382">
        <v>890</v>
      </c>
      <c r="O17" s="384" t="s">
        <v>71</v>
      </c>
      <c r="P17" s="380">
        <v>12.1</v>
      </c>
      <c r="Q17" s="384" t="s">
        <v>71</v>
      </c>
      <c r="R17" s="385"/>
      <c r="T17" s="375" t="s">
        <v>379</v>
      </c>
      <c r="U17" s="386">
        <v>2.5</v>
      </c>
      <c r="V17" s="387" t="s">
        <v>121</v>
      </c>
      <c r="W17" s="388">
        <v>7</v>
      </c>
    </row>
    <row r="18" spans="2:23" s="243" customFormat="1" x14ac:dyDescent="0.2">
      <c r="B18" s="370" t="s">
        <v>178</v>
      </c>
      <c r="C18" s="248" t="s">
        <v>77</v>
      </c>
      <c r="D18" s="249" t="s">
        <v>179</v>
      </c>
      <c r="E18" s="249" t="s">
        <v>180</v>
      </c>
      <c r="F18" s="250" t="s">
        <v>125</v>
      </c>
      <c r="G18" s="251">
        <v>3</v>
      </c>
      <c r="H18" s="252">
        <v>6.2</v>
      </c>
      <c r="I18" s="253">
        <v>20.3669431</v>
      </c>
      <c r="J18" s="254">
        <v>370</v>
      </c>
      <c r="K18" s="255" t="s">
        <v>71</v>
      </c>
      <c r="L18" s="254">
        <v>340</v>
      </c>
      <c r="M18" s="254">
        <v>399</v>
      </c>
      <c r="N18" s="254">
        <v>510</v>
      </c>
      <c r="O18" s="256" t="s">
        <v>71</v>
      </c>
      <c r="P18" s="252">
        <v>8.4</v>
      </c>
      <c r="Q18" s="256" t="s">
        <v>71</v>
      </c>
      <c r="R18" s="371"/>
      <c r="T18" s="370" t="s">
        <v>67</v>
      </c>
      <c r="U18" s="246">
        <v>3.0303</v>
      </c>
      <c r="V18" s="247" t="s">
        <v>121</v>
      </c>
      <c r="W18" s="374">
        <v>1</v>
      </c>
    </row>
    <row r="19" spans="2:23" s="243" customFormat="1" x14ac:dyDescent="0.2">
      <c r="B19" s="375" t="s">
        <v>181</v>
      </c>
      <c r="C19" s="376" t="s">
        <v>80</v>
      </c>
      <c r="D19" s="377" t="s">
        <v>182</v>
      </c>
      <c r="E19" s="377" t="s">
        <v>183</v>
      </c>
      <c r="F19" s="378" t="s">
        <v>125</v>
      </c>
      <c r="G19" s="379">
        <v>3</v>
      </c>
      <c r="H19" s="380">
        <v>6.2</v>
      </c>
      <c r="I19" s="381">
        <v>20.3669431</v>
      </c>
      <c r="J19" s="382">
        <v>400</v>
      </c>
      <c r="K19" s="383" t="s">
        <v>71</v>
      </c>
      <c r="L19" s="382">
        <v>400</v>
      </c>
      <c r="M19" s="382">
        <v>430</v>
      </c>
      <c r="N19" s="382">
        <v>600</v>
      </c>
      <c r="O19" s="384" t="s">
        <v>71</v>
      </c>
      <c r="P19" s="380">
        <v>9</v>
      </c>
      <c r="Q19" s="384" t="s">
        <v>71</v>
      </c>
      <c r="R19" s="385"/>
      <c r="T19" s="375" t="s">
        <v>364</v>
      </c>
      <c r="U19" s="386">
        <v>5</v>
      </c>
      <c r="V19" s="387" t="s">
        <v>121</v>
      </c>
      <c r="W19" s="388">
        <v>1</v>
      </c>
    </row>
    <row r="20" spans="2:23" s="243" customFormat="1" ht="30" x14ac:dyDescent="0.2">
      <c r="B20" s="370" t="s">
        <v>25</v>
      </c>
      <c r="C20" s="248" t="s">
        <v>75</v>
      </c>
      <c r="D20" s="249" t="s">
        <v>184</v>
      </c>
      <c r="E20" s="249" t="s">
        <v>185</v>
      </c>
      <c r="F20" s="250" t="s">
        <v>125</v>
      </c>
      <c r="G20" s="251">
        <v>3</v>
      </c>
      <c r="H20" s="252">
        <v>6.2</v>
      </c>
      <c r="I20" s="253">
        <v>20.3669431</v>
      </c>
      <c r="J20" s="254">
        <v>550</v>
      </c>
      <c r="K20" s="255" t="s">
        <v>71</v>
      </c>
      <c r="L20" s="254">
        <v>440</v>
      </c>
      <c r="M20" s="254">
        <v>583</v>
      </c>
      <c r="N20" s="254">
        <v>850</v>
      </c>
      <c r="O20" s="256" t="s">
        <v>71</v>
      </c>
      <c r="P20" s="252">
        <v>11.4</v>
      </c>
      <c r="Q20" s="256" t="s">
        <v>71</v>
      </c>
      <c r="R20" s="371" t="s">
        <v>353</v>
      </c>
      <c r="T20" s="370" t="s">
        <v>69</v>
      </c>
      <c r="U20" s="246">
        <v>1</v>
      </c>
      <c r="V20" s="247" t="s">
        <v>52</v>
      </c>
      <c r="W20" s="374">
        <v>6</v>
      </c>
    </row>
    <row r="21" spans="2:23" s="243" customFormat="1" ht="30" x14ac:dyDescent="0.2">
      <c r="B21" s="375" t="s">
        <v>186</v>
      </c>
      <c r="C21" s="376" t="s">
        <v>187</v>
      </c>
      <c r="D21" s="377" t="s">
        <v>188</v>
      </c>
      <c r="E21" s="377" t="s">
        <v>189</v>
      </c>
      <c r="F21" s="378" t="s">
        <v>125</v>
      </c>
      <c r="G21" s="379">
        <v>3</v>
      </c>
      <c r="H21" s="380">
        <v>6.2</v>
      </c>
      <c r="I21" s="381">
        <v>20.3669431</v>
      </c>
      <c r="J21" s="382">
        <v>370</v>
      </c>
      <c r="K21" s="383" t="s">
        <v>71</v>
      </c>
      <c r="L21" s="382">
        <v>400</v>
      </c>
      <c r="M21" s="382">
        <v>450</v>
      </c>
      <c r="N21" s="382">
        <v>500</v>
      </c>
      <c r="O21" s="384" t="s">
        <v>157</v>
      </c>
      <c r="P21" s="380">
        <v>7</v>
      </c>
      <c r="Q21" s="384" t="s">
        <v>157</v>
      </c>
      <c r="R21" s="385"/>
      <c r="T21" s="375" t="s">
        <v>365</v>
      </c>
      <c r="U21" s="386">
        <v>3.3332999999999999</v>
      </c>
      <c r="V21" s="387" t="s">
        <v>121</v>
      </c>
      <c r="W21" s="388">
        <v>6</v>
      </c>
    </row>
    <row r="22" spans="2:23" s="243" customFormat="1" ht="30" x14ac:dyDescent="0.2">
      <c r="B22" s="370" t="s">
        <v>190</v>
      </c>
      <c r="C22" s="248" t="s">
        <v>191</v>
      </c>
      <c r="D22" s="249" t="s">
        <v>192</v>
      </c>
      <c r="E22" s="249" t="s">
        <v>193</v>
      </c>
      <c r="F22" s="250" t="s">
        <v>125</v>
      </c>
      <c r="G22" s="251">
        <v>3</v>
      </c>
      <c r="H22" s="252">
        <v>6.2</v>
      </c>
      <c r="I22" s="253">
        <v>20.3669431</v>
      </c>
      <c r="J22" s="254">
        <v>340</v>
      </c>
      <c r="K22" s="255" t="s">
        <v>71</v>
      </c>
      <c r="L22" s="254">
        <v>330</v>
      </c>
      <c r="M22" s="254">
        <v>390</v>
      </c>
      <c r="N22" s="254">
        <v>460</v>
      </c>
      <c r="O22" s="256" t="s">
        <v>157</v>
      </c>
      <c r="P22" s="252">
        <v>7.1</v>
      </c>
      <c r="Q22" s="256" t="s">
        <v>157</v>
      </c>
      <c r="R22" s="371"/>
      <c r="T22" s="370" t="s">
        <v>114</v>
      </c>
      <c r="U22" s="246" t="s">
        <v>70</v>
      </c>
      <c r="V22" s="247" t="s">
        <v>371</v>
      </c>
      <c r="W22" s="374">
        <v>0.5</v>
      </c>
    </row>
    <row r="23" spans="2:23" s="243" customFormat="1" x14ac:dyDescent="0.2">
      <c r="B23" s="375" t="s">
        <v>23</v>
      </c>
      <c r="C23" s="376" t="s">
        <v>78</v>
      </c>
      <c r="D23" s="377" t="s">
        <v>194</v>
      </c>
      <c r="E23" s="377" t="s">
        <v>195</v>
      </c>
      <c r="F23" s="378" t="s">
        <v>125</v>
      </c>
      <c r="G23" s="379">
        <v>3</v>
      </c>
      <c r="H23" s="380">
        <v>6.2</v>
      </c>
      <c r="I23" s="381">
        <v>20.3669431</v>
      </c>
      <c r="J23" s="382">
        <v>410</v>
      </c>
      <c r="K23" s="383" t="s">
        <v>71</v>
      </c>
      <c r="L23" s="382">
        <v>350</v>
      </c>
      <c r="M23" s="382">
        <v>441</v>
      </c>
      <c r="N23" s="382">
        <v>750</v>
      </c>
      <c r="O23" s="384" t="s">
        <v>71</v>
      </c>
      <c r="P23" s="380">
        <v>11.5</v>
      </c>
      <c r="Q23" s="384" t="s">
        <v>71</v>
      </c>
      <c r="R23" s="385"/>
      <c r="T23" s="375" t="s">
        <v>116</v>
      </c>
      <c r="U23" s="386" t="s">
        <v>70</v>
      </c>
      <c r="V23" s="387" t="s">
        <v>371</v>
      </c>
      <c r="W23" s="388">
        <v>6</v>
      </c>
    </row>
    <row r="24" spans="2:23" s="243" customFormat="1" x14ac:dyDescent="0.2">
      <c r="B24" s="370" t="s">
        <v>196</v>
      </c>
      <c r="C24" s="248" t="s">
        <v>197</v>
      </c>
      <c r="D24" s="249" t="s">
        <v>198</v>
      </c>
      <c r="E24" s="249" t="s">
        <v>199</v>
      </c>
      <c r="F24" s="250" t="s">
        <v>125</v>
      </c>
      <c r="G24" s="251">
        <v>3</v>
      </c>
      <c r="H24" s="252">
        <v>6.2</v>
      </c>
      <c r="I24" s="253">
        <v>20.3669431</v>
      </c>
      <c r="J24" s="254">
        <v>470</v>
      </c>
      <c r="K24" s="255" t="s">
        <v>71</v>
      </c>
      <c r="L24" s="254" t="s">
        <v>70</v>
      </c>
      <c r="M24" s="254">
        <v>545</v>
      </c>
      <c r="N24" s="254" t="s">
        <v>70</v>
      </c>
      <c r="O24" s="256" t="s">
        <v>157</v>
      </c>
      <c r="P24" s="252">
        <v>11.2</v>
      </c>
      <c r="Q24" s="256" t="s">
        <v>157</v>
      </c>
      <c r="R24" s="371" t="s">
        <v>336</v>
      </c>
      <c r="T24" s="370" t="s">
        <v>113</v>
      </c>
      <c r="U24" s="246" t="s">
        <v>70</v>
      </c>
      <c r="V24" s="247" t="s">
        <v>371</v>
      </c>
      <c r="W24" s="374">
        <v>0.3</v>
      </c>
    </row>
    <row r="25" spans="2:23" s="243" customFormat="1" ht="30" x14ac:dyDescent="0.2">
      <c r="B25" s="375" t="s">
        <v>200</v>
      </c>
      <c r="C25" s="376" t="s">
        <v>201</v>
      </c>
      <c r="D25" s="377" t="s">
        <v>202</v>
      </c>
      <c r="E25" s="377" t="s">
        <v>203</v>
      </c>
      <c r="F25" s="378" t="s">
        <v>125</v>
      </c>
      <c r="G25" s="379">
        <v>3</v>
      </c>
      <c r="H25" s="380">
        <v>6.2</v>
      </c>
      <c r="I25" s="381">
        <v>20.3669431</v>
      </c>
      <c r="J25" s="382">
        <v>450</v>
      </c>
      <c r="K25" s="383" t="s">
        <v>71</v>
      </c>
      <c r="L25" s="382">
        <v>450</v>
      </c>
      <c r="M25" s="382" t="s">
        <v>152</v>
      </c>
      <c r="N25" s="382">
        <v>590</v>
      </c>
      <c r="O25" s="384" t="s">
        <v>157</v>
      </c>
      <c r="P25" s="380">
        <v>8.8000000000000007</v>
      </c>
      <c r="Q25" s="384" t="s">
        <v>157</v>
      </c>
      <c r="R25" s="385" t="s">
        <v>204</v>
      </c>
      <c r="S25" s="372"/>
      <c r="T25" s="389" t="s">
        <v>115</v>
      </c>
      <c r="U25" s="390" t="s">
        <v>70</v>
      </c>
      <c r="V25" s="391" t="s">
        <v>371</v>
      </c>
      <c r="W25" s="392">
        <v>6</v>
      </c>
    </row>
    <row r="26" spans="2:23" s="243" customFormat="1" ht="45" x14ac:dyDescent="0.2">
      <c r="B26" s="405" t="s">
        <v>17</v>
      </c>
      <c r="C26" s="406" t="s">
        <v>70</v>
      </c>
      <c r="D26" s="407" t="s">
        <v>70</v>
      </c>
      <c r="E26" s="407" t="s">
        <v>70</v>
      </c>
      <c r="F26" s="408" t="s">
        <v>36</v>
      </c>
      <c r="G26" s="409">
        <v>4</v>
      </c>
      <c r="H26" s="410">
        <v>6</v>
      </c>
      <c r="I26" s="411">
        <v>19.322848199999999</v>
      </c>
      <c r="J26" s="412">
        <v>640</v>
      </c>
      <c r="K26" s="415" t="s">
        <v>107</v>
      </c>
      <c r="L26" s="412" t="s">
        <v>152</v>
      </c>
      <c r="M26" s="412" t="s">
        <v>152</v>
      </c>
      <c r="N26" s="412" t="s">
        <v>152</v>
      </c>
      <c r="O26" s="413" t="s">
        <v>70</v>
      </c>
      <c r="P26" s="410">
        <v>15.4</v>
      </c>
      <c r="Q26" s="413" t="s">
        <v>107</v>
      </c>
      <c r="R26" s="414" t="s">
        <v>153</v>
      </c>
      <c r="T26" s="503" t="s">
        <v>380</v>
      </c>
      <c r="U26" s="504"/>
      <c r="V26" s="504"/>
      <c r="W26" s="505"/>
    </row>
    <row r="27" spans="2:23" s="243" customFormat="1" ht="45" x14ac:dyDescent="0.2">
      <c r="B27" s="405" t="s">
        <v>205</v>
      </c>
      <c r="C27" s="416" t="s">
        <v>70</v>
      </c>
      <c r="D27" s="407" t="s">
        <v>70</v>
      </c>
      <c r="E27" s="407" t="s">
        <v>70</v>
      </c>
      <c r="F27" s="408" t="s">
        <v>36</v>
      </c>
      <c r="G27" s="409">
        <v>4</v>
      </c>
      <c r="H27" s="410">
        <v>6</v>
      </c>
      <c r="I27" s="411">
        <v>19.322848199999999</v>
      </c>
      <c r="J27" s="412">
        <v>680</v>
      </c>
      <c r="K27" s="415" t="s">
        <v>107</v>
      </c>
      <c r="L27" s="412" t="s">
        <v>152</v>
      </c>
      <c r="M27" s="412" t="s">
        <v>152</v>
      </c>
      <c r="N27" s="412" t="s">
        <v>152</v>
      </c>
      <c r="O27" s="413" t="s">
        <v>70</v>
      </c>
      <c r="P27" s="410">
        <v>16.2</v>
      </c>
      <c r="Q27" s="413" t="s">
        <v>107</v>
      </c>
      <c r="R27" s="414" t="s">
        <v>153</v>
      </c>
      <c r="T27" s="506" t="s">
        <v>381</v>
      </c>
      <c r="U27" s="507"/>
      <c r="V27" s="507"/>
      <c r="W27" s="508"/>
    </row>
    <row r="28" spans="2:23" s="243" customFormat="1" ht="45" x14ac:dyDescent="0.2">
      <c r="B28" s="405" t="s">
        <v>206</v>
      </c>
      <c r="C28" s="416" t="s">
        <v>70</v>
      </c>
      <c r="D28" s="407" t="s">
        <v>70</v>
      </c>
      <c r="E28" s="407" t="s">
        <v>70</v>
      </c>
      <c r="F28" s="408" t="s">
        <v>36</v>
      </c>
      <c r="G28" s="409">
        <v>4</v>
      </c>
      <c r="H28" s="410">
        <v>6</v>
      </c>
      <c r="I28" s="411">
        <v>19.322848199999999</v>
      </c>
      <c r="J28" s="412">
        <v>515</v>
      </c>
      <c r="K28" s="415" t="s">
        <v>107</v>
      </c>
      <c r="L28" s="412" t="s">
        <v>152</v>
      </c>
      <c r="M28" s="412" t="s">
        <v>152</v>
      </c>
      <c r="N28" s="412" t="s">
        <v>152</v>
      </c>
      <c r="O28" s="413" t="s">
        <v>70</v>
      </c>
      <c r="P28" s="410">
        <v>13</v>
      </c>
      <c r="Q28" s="413" t="s">
        <v>107</v>
      </c>
      <c r="R28" s="414" t="s">
        <v>153</v>
      </c>
    </row>
    <row r="29" spans="2:23" s="243" customFormat="1" ht="45" x14ac:dyDescent="0.2">
      <c r="B29" s="375" t="s">
        <v>26</v>
      </c>
      <c r="C29" s="393" t="s">
        <v>70</v>
      </c>
      <c r="D29" s="377" t="s">
        <v>207</v>
      </c>
      <c r="E29" s="377" t="s">
        <v>70</v>
      </c>
      <c r="F29" s="378" t="s">
        <v>126</v>
      </c>
      <c r="G29" s="379">
        <v>5</v>
      </c>
      <c r="H29" s="380">
        <v>6</v>
      </c>
      <c r="I29" s="381">
        <v>19.322848199999999</v>
      </c>
      <c r="J29" s="382">
        <v>600</v>
      </c>
      <c r="K29" s="383" t="s">
        <v>209</v>
      </c>
      <c r="L29" s="382" t="s">
        <v>152</v>
      </c>
      <c r="M29" s="382" t="s">
        <v>152</v>
      </c>
      <c r="N29" s="382" t="s">
        <v>152</v>
      </c>
      <c r="O29" s="384" t="s">
        <v>70</v>
      </c>
      <c r="P29" s="380">
        <v>11.5</v>
      </c>
      <c r="Q29" s="384" t="s">
        <v>209</v>
      </c>
      <c r="R29" s="385" t="s">
        <v>210</v>
      </c>
    </row>
    <row r="30" spans="2:23" s="243" customFormat="1" ht="30" x14ac:dyDescent="0.2">
      <c r="B30" s="370" t="s">
        <v>117</v>
      </c>
      <c r="C30" s="250" t="s">
        <v>94</v>
      </c>
      <c r="D30" s="257" t="s">
        <v>208</v>
      </c>
      <c r="E30" s="257" t="s">
        <v>70</v>
      </c>
      <c r="F30" s="250" t="s">
        <v>126</v>
      </c>
      <c r="G30" s="251">
        <v>5</v>
      </c>
      <c r="H30" s="252">
        <v>6</v>
      </c>
      <c r="I30" s="253">
        <v>19.322848199999999</v>
      </c>
      <c r="J30" s="254">
        <v>590</v>
      </c>
      <c r="K30" s="255" t="s">
        <v>71</v>
      </c>
      <c r="L30" s="254">
        <v>530</v>
      </c>
      <c r="M30" s="254">
        <v>623</v>
      </c>
      <c r="N30" s="254">
        <v>790</v>
      </c>
      <c r="O30" s="256" t="s">
        <v>71</v>
      </c>
      <c r="P30" s="252">
        <v>12.6</v>
      </c>
      <c r="Q30" s="256" t="s">
        <v>71</v>
      </c>
      <c r="R30" s="371"/>
    </row>
    <row r="31" spans="2:23" s="243" customFormat="1" ht="30" x14ac:dyDescent="0.2">
      <c r="B31" s="375" t="s">
        <v>211</v>
      </c>
      <c r="C31" s="378" t="s">
        <v>212</v>
      </c>
      <c r="D31" s="394" t="s">
        <v>213</v>
      </c>
      <c r="E31" s="394" t="s">
        <v>70</v>
      </c>
      <c r="F31" s="378" t="s">
        <v>126</v>
      </c>
      <c r="G31" s="379">
        <v>5</v>
      </c>
      <c r="H31" s="380">
        <v>6</v>
      </c>
      <c r="I31" s="381">
        <v>19.322848199999999</v>
      </c>
      <c r="J31" s="382">
        <v>690</v>
      </c>
      <c r="K31" s="383" t="s">
        <v>71</v>
      </c>
      <c r="L31" s="382" t="s">
        <v>152</v>
      </c>
      <c r="M31" s="382" t="s">
        <v>152</v>
      </c>
      <c r="N31" s="382" t="s">
        <v>152</v>
      </c>
      <c r="O31" s="384" t="s">
        <v>70</v>
      </c>
      <c r="P31" s="380">
        <v>12.9</v>
      </c>
      <c r="Q31" s="384" t="s">
        <v>107</v>
      </c>
      <c r="R31" s="385" t="s">
        <v>214</v>
      </c>
    </row>
    <row r="32" spans="2:23" s="243" customFormat="1" x14ac:dyDescent="0.2">
      <c r="B32" s="370" t="s">
        <v>118</v>
      </c>
      <c r="C32" s="248" t="s">
        <v>81</v>
      </c>
      <c r="D32" s="249" t="s">
        <v>215</v>
      </c>
      <c r="E32" s="249" t="s">
        <v>70</v>
      </c>
      <c r="F32" s="250" t="s">
        <v>126</v>
      </c>
      <c r="G32" s="251">
        <v>5</v>
      </c>
      <c r="H32" s="252">
        <v>6</v>
      </c>
      <c r="I32" s="253">
        <v>19.322848199999999</v>
      </c>
      <c r="J32" s="254">
        <v>620</v>
      </c>
      <c r="K32" s="255" t="s">
        <v>71</v>
      </c>
      <c r="L32" s="254">
        <v>560</v>
      </c>
      <c r="M32" s="254">
        <v>653</v>
      </c>
      <c r="N32" s="254">
        <v>810</v>
      </c>
      <c r="O32" s="256" t="s">
        <v>71</v>
      </c>
      <c r="P32" s="252">
        <v>13.2</v>
      </c>
      <c r="Q32" s="256" t="s">
        <v>71</v>
      </c>
      <c r="R32" s="371"/>
    </row>
    <row r="33" spans="2:18" s="243" customFormat="1" ht="45" x14ac:dyDescent="0.2">
      <c r="B33" s="375" t="s">
        <v>28</v>
      </c>
      <c r="C33" s="376" t="s">
        <v>82</v>
      </c>
      <c r="D33" s="377" t="s">
        <v>216</v>
      </c>
      <c r="E33" s="377" t="s">
        <v>70</v>
      </c>
      <c r="F33" s="378" t="s">
        <v>126</v>
      </c>
      <c r="G33" s="379">
        <v>5</v>
      </c>
      <c r="H33" s="380">
        <v>6</v>
      </c>
      <c r="I33" s="381">
        <v>19.322848199999999</v>
      </c>
      <c r="J33" s="382">
        <v>640</v>
      </c>
      <c r="K33" s="383" t="s">
        <v>71</v>
      </c>
      <c r="L33" s="382">
        <v>510</v>
      </c>
      <c r="M33" s="382">
        <v>673</v>
      </c>
      <c r="N33" s="382">
        <v>830</v>
      </c>
      <c r="O33" s="384" t="s">
        <v>71</v>
      </c>
      <c r="P33" s="380">
        <v>13.9</v>
      </c>
      <c r="Q33" s="384" t="s">
        <v>71</v>
      </c>
      <c r="R33" s="385" t="s">
        <v>354</v>
      </c>
    </row>
    <row r="34" spans="2:18" s="243" customFormat="1" ht="30" x14ac:dyDescent="0.2">
      <c r="B34" s="370" t="s">
        <v>217</v>
      </c>
      <c r="C34" s="248" t="s">
        <v>82</v>
      </c>
      <c r="D34" s="249" t="s">
        <v>218</v>
      </c>
      <c r="E34" s="249" t="s">
        <v>219</v>
      </c>
      <c r="F34" s="250" t="s">
        <v>126</v>
      </c>
      <c r="G34" s="251">
        <v>5</v>
      </c>
      <c r="H34" s="252">
        <v>6</v>
      </c>
      <c r="I34" s="253">
        <v>19.322848199999999</v>
      </c>
      <c r="J34" s="254">
        <v>640</v>
      </c>
      <c r="K34" s="255" t="s">
        <v>71</v>
      </c>
      <c r="L34" s="254">
        <v>510</v>
      </c>
      <c r="M34" s="254">
        <v>673</v>
      </c>
      <c r="N34" s="254">
        <v>830</v>
      </c>
      <c r="O34" s="256" t="s">
        <v>71</v>
      </c>
      <c r="P34" s="252">
        <v>13.9</v>
      </c>
      <c r="Q34" s="256" t="s">
        <v>71</v>
      </c>
      <c r="R34" s="371"/>
    </row>
    <row r="35" spans="2:18" s="243" customFormat="1" x14ac:dyDescent="0.2">
      <c r="B35" s="375" t="s">
        <v>220</v>
      </c>
      <c r="C35" s="376" t="s">
        <v>82</v>
      </c>
      <c r="D35" s="377" t="s">
        <v>221</v>
      </c>
      <c r="E35" s="377" t="s">
        <v>222</v>
      </c>
      <c r="F35" s="378" t="s">
        <v>126</v>
      </c>
      <c r="G35" s="379">
        <v>5</v>
      </c>
      <c r="H35" s="380">
        <v>6</v>
      </c>
      <c r="I35" s="381">
        <v>19.322848199999999</v>
      </c>
      <c r="J35" s="382">
        <v>640</v>
      </c>
      <c r="K35" s="383" t="s">
        <v>71</v>
      </c>
      <c r="L35" s="382">
        <v>510</v>
      </c>
      <c r="M35" s="382">
        <v>673</v>
      </c>
      <c r="N35" s="382">
        <v>830</v>
      </c>
      <c r="O35" s="384" t="s">
        <v>71</v>
      </c>
      <c r="P35" s="380">
        <v>13.9</v>
      </c>
      <c r="Q35" s="384" t="s">
        <v>71</v>
      </c>
      <c r="R35" s="385"/>
    </row>
    <row r="36" spans="2:18" s="243" customFormat="1" ht="30" x14ac:dyDescent="0.2">
      <c r="B36" s="370" t="s">
        <v>95</v>
      </c>
      <c r="C36" s="248" t="s">
        <v>96</v>
      </c>
      <c r="D36" s="249" t="s">
        <v>223</v>
      </c>
      <c r="E36" s="249" t="s">
        <v>224</v>
      </c>
      <c r="F36" s="250" t="s">
        <v>126</v>
      </c>
      <c r="G36" s="251">
        <v>5</v>
      </c>
      <c r="H36" s="252">
        <v>6</v>
      </c>
      <c r="I36" s="253">
        <v>19.322848199999999</v>
      </c>
      <c r="J36" s="254">
        <v>700</v>
      </c>
      <c r="K36" s="255" t="s">
        <v>71</v>
      </c>
      <c r="L36" s="254">
        <v>690</v>
      </c>
      <c r="M36" s="254">
        <v>732</v>
      </c>
      <c r="N36" s="254">
        <v>800</v>
      </c>
      <c r="O36" s="256" t="s">
        <v>71</v>
      </c>
      <c r="P36" s="252">
        <v>14.1</v>
      </c>
      <c r="Q36" s="256" t="s">
        <v>71</v>
      </c>
      <c r="R36" s="371"/>
    </row>
    <row r="37" spans="2:18" s="243" customFormat="1" ht="45" x14ac:dyDescent="0.2">
      <c r="B37" s="375" t="s">
        <v>112</v>
      </c>
      <c r="C37" s="376" t="s">
        <v>89</v>
      </c>
      <c r="D37" s="377" t="s">
        <v>225</v>
      </c>
      <c r="E37" s="377" t="s">
        <v>226</v>
      </c>
      <c r="F37" s="378" t="s">
        <v>126</v>
      </c>
      <c r="G37" s="379">
        <v>5</v>
      </c>
      <c r="H37" s="380">
        <v>6</v>
      </c>
      <c r="I37" s="381">
        <v>19.322848199999999</v>
      </c>
      <c r="J37" s="382">
        <v>680</v>
      </c>
      <c r="K37" s="383" t="s">
        <v>71</v>
      </c>
      <c r="L37" s="382">
        <v>540</v>
      </c>
      <c r="M37" s="382">
        <v>712</v>
      </c>
      <c r="N37" s="382">
        <v>910</v>
      </c>
      <c r="O37" s="384" t="s">
        <v>71</v>
      </c>
      <c r="P37" s="380">
        <v>17.899999999999999</v>
      </c>
      <c r="Q37" s="384" t="s">
        <v>71</v>
      </c>
      <c r="R37" s="385" t="s">
        <v>355</v>
      </c>
    </row>
    <row r="38" spans="2:18" s="243" customFormat="1" x14ac:dyDescent="0.2">
      <c r="B38" s="370" t="s">
        <v>111</v>
      </c>
      <c r="C38" s="248" t="s">
        <v>91</v>
      </c>
      <c r="D38" s="249" t="s">
        <v>227</v>
      </c>
      <c r="E38" s="249" t="s">
        <v>228</v>
      </c>
      <c r="F38" s="250" t="s">
        <v>126</v>
      </c>
      <c r="G38" s="251">
        <v>5</v>
      </c>
      <c r="H38" s="252">
        <v>6</v>
      </c>
      <c r="I38" s="253">
        <v>19.322848199999999</v>
      </c>
      <c r="J38" s="254">
        <v>750</v>
      </c>
      <c r="K38" s="255" t="s">
        <v>71</v>
      </c>
      <c r="L38" s="254">
        <v>640</v>
      </c>
      <c r="M38" s="254">
        <v>780</v>
      </c>
      <c r="N38" s="254">
        <v>860</v>
      </c>
      <c r="O38" s="256" t="s">
        <v>71</v>
      </c>
      <c r="P38" s="252">
        <v>18.8</v>
      </c>
      <c r="Q38" s="256" t="s">
        <v>71</v>
      </c>
      <c r="R38" s="371"/>
    </row>
    <row r="39" spans="2:18" s="243" customFormat="1" x14ac:dyDescent="0.2">
      <c r="B39" s="375" t="s">
        <v>229</v>
      </c>
      <c r="C39" s="376" t="s">
        <v>230</v>
      </c>
      <c r="D39" s="377" t="s">
        <v>231</v>
      </c>
      <c r="E39" s="377" t="s">
        <v>70</v>
      </c>
      <c r="F39" s="378" t="s">
        <v>126</v>
      </c>
      <c r="G39" s="379">
        <v>5</v>
      </c>
      <c r="H39" s="380">
        <v>6</v>
      </c>
      <c r="I39" s="381">
        <v>19.322848199999999</v>
      </c>
      <c r="J39" s="382">
        <v>920</v>
      </c>
      <c r="K39" s="383" t="s">
        <v>71</v>
      </c>
      <c r="L39" s="382">
        <v>900</v>
      </c>
      <c r="M39" s="382" t="s">
        <v>70</v>
      </c>
      <c r="N39" s="382">
        <v>1030</v>
      </c>
      <c r="O39" s="384" t="s">
        <v>157</v>
      </c>
      <c r="P39" s="380">
        <v>27</v>
      </c>
      <c r="Q39" s="384" t="s">
        <v>157</v>
      </c>
      <c r="R39" s="385" t="s">
        <v>204</v>
      </c>
    </row>
    <row r="40" spans="2:18" s="243" customFormat="1" ht="45" x14ac:dyDescent="0.2">
      <c r="B40" s="370" t="s">
        <v>15</v>
      </c>
      <c r="C40" s="248" t="s">
        <v>83</v>
      </c>
      <c r="D40" s="249" t="s">
        <v>232</v>
      </c>
      <c r="E40" s="249" t="s">
        <v>70</v>
      </c>
      <c r="F40" s="250" t="s">
        <v>126</v>
      </c>
      <c r="G40" s="251">
        <v>5</v>
      </c>
      <c r="H40" s="252">
        <v>6</v>
      </c>
      <c r="I40" s="253">
        <v>19.322848199999999</v>
      </c>
      <c r="J40" s="254">
        <v>680</v>
      </c>
      <c r="K40" s="255" t="s">
        <v>209</v>
      </c>
      <c r="L40" s="254" t="s">
        <v>152</v>
      </c>
      <c r="M40" s="254" t="s">
        <v>152</v>
      </c>
      <c r="N40" s="254" t="s">
        <v>152</v>
      </c>
      <c r="O40" s="256" t="s">
        <v>70</v>
      </c>
      <c r="P40" s="252">
        <v>13.9</v>
      </c>
      <c r="Q40" s="256" t="s">
        <v>209</v>
      </c>
      <c r="R40" s="371" t="s">
        <v>233</v>
      </c>
    </row>
    <row r="41" spans="2:18" s="243" customFormat="1" ht="45" x14ac:dyDescent="0.2">
      <c r="B41" s="375" t="s">
        <v>234</v>
      </c>
      <c r="C41" s="376" t="s">
        <v>235</v>
      </c>
      <c r="D41" s="377" t="s">
        <v>236</v>
      </c>
      <c r="E41" s="377" t="s">
        <v>237</v>
      </c>
      <c r="F41" s="378" t="s">
        <v>126</v>
      </c>
      <c r="G41" s="379">
        <v>5</v>
      </c>
      <c r="H41" s="380">
        <v>6</v>
      </c>
      <c r="I41" s="381">
        <v>19.322848199999999</v>
      </c>
      <c r="J41" s="382">
        <v>660</v>
      </c>
      <c r="K41" s="383" t="s">
        <v>71</v>
      </c>
      <c r="L41" s="382">
        <v>550</v>
      </c>
      <c r="M41" s="382">
        <v>700</v>
      </c>
      <c r="N41" s="382">
        <v>980</v>
      </c>
      <c r="O41" s="384" t="s">
        <v>157</v>
      </c>
      <c r="P41" s="380">
        <v>13.1</v>
      </c>
      <c r="Q41" s="384" t="s">
        <v>157</v>
      </c>
      <c r="R41" s="385"/>
    </row>
    <row r="42" spans="2:18" s="243" customFormat="1" ht="45" x14ac:dyDescent="0.2">
      <c r="B42" s="370" t="s">
        <v>238</v>
      </c>
      <c r="C42" s="248" t="s">
        <v>83</v>
      </c>
      <c r="D42" s="249" t="s">
        <v>239</v>
      </c>
      <c r="E42" s="249" t="s">
        <v>240</v>
      </c>
      <c r="F42" s="250" t="s">
        <v>126</v>
      </c>
      <c r="G42" s="251">
        <v>5</v>
      </c>
      <c r="H42" s="252">
        <v>6</v>
      </c>
      <c r="I42" s="253">
        <v>19.322848199999999</v>
      </c>
      <c r="J42" s="254">
        <v>670</v>
      </c>
      <c r="K42" s="255" t="s">
        <v>71</v>
      </c>
      <c r="L42" s="254">
        <v>430</v>
      </c>
      <c r="M42" s="254">
        <v>702</v>
      </c>
      <c r="N42" s="254">
        <v>960</v>
      </c>
      <c r="O42" s="256" t="s">
        <v>71</v>
      </c>
      <c r="P42" s="252">
        <v>13.6</v>
      </c>
      <c r="Q42" s="256" t="s">
        <v>71</v>
      </c>
      <c r="R42" s="371"/>
    </row>
    <row r="43" spans="2:18" s="243" customFormat="1" ht="45" x14ac:dyDescent="0.2">
      <c r="B43" s="375" t="s">
        <v>241</v>
      </c>
      <c r="C43" s="376" t="s">
        <v>83</v>
      </c>
      <c r="D43" s="377" t="s">
        <v>242</v>
      </c>
      <c r="E43" s="377" t="s">
        <v>243</v>
      </c>
      <c r="F43" s="378" t="s">
        <v>126</v>
      </c>
      <c r="G43" s="379">
        <v>5</v>
      </c>
      <c r="H43" s="380">
        <v>6</v>
      </c>
      <c r="I43" s="381">
        <v>19.322848199999999</v>
      </c>
      <c r="J43" s="382">
        <v>670</v>
      </c>
      <c r="K43" s="383" t="s">
        <v>71</v>
      </c>
      <c r="L43" s="382">
        <v>430</v>
      </c>
      <c r="M43" s="382">
        <v>702</v>
      </c>
      <c r="N43" s="382">
        <v>960</v>
      </c>
      <c r="O43" s="384" t="s">
        <v>71</v>
      </c>
      <c r="P43" s="380">
        <v>13.6</v>
      </c>
      <c r="Q43" s="384" t="s">
        <v>71</v>
      </c>
      <c r="R43" s="385"/>
    </row>
    <row r="44" spans="2:18" s="243" customFormat="1" x14ac:dyDescent="0.2">
      <c r="B44" s="370" t="s">
        <v>110</v>
      </c>
      <c r="C44" s="248" t="s">
        <v>92</v>
      </c>
      <c r="D44" s="249" t="s">
        <v>244</v>
      </c>
      <c r="E44" s="249" t="s">
        <v>70</v>
      </c>
      <c r="F44" s="250" t="s">
        <v>126</v>
      </c>
      <c r="G44" s="251">
        <v>5</v>
      </c>
      <c r="H44" s="252">
        <v>6</v>
      </c>
      <c r="I44" s="253">
        <v>19.322848199999999</v>
      </c>
      <c r="J44" s="254">
        <v>740</v>
      </c>
      <c r="K44" s="255" t="s">
        <v>71</v>
      </c>
      <c r="L44" s="254" t="s">
        <v>152</v>
      </c>
      <c r="M44" s="254" t="s">
        <v>152</v>
      </c>
      <c r="N44" s="254" t="s">
        <v>152</v>
      </c>
      <c r="O44" s="256" t="s">
        <v>70</v>
      </c>
      <c r="P44" s="252">
        <v>13.9</v>
      </c>
      <c r="Q44" s="256" t="s">
        <v>209</v>
      </c>
      <c r="R44" s="371" t="s">
        <v>245</v>
      </c>
    </row>
    <row r="45" spans="2:18" s="243" customFormat="1" x14ac:dyDescent="0.2">
      <c r="B45" s="375" t="s">
        <v>98</v>
      </c>
      <c r="C45" s="376" t="s">
        <v>99</v>
      </c>
      <c r="D45" s="377" t="s">
        <v>246</v>
      </c>
      <c r="E45" s="377" t="s">
        <v>247</v>
      </c>
      <c r="F45" s="378" t="s">
        <v>126</v>
      </c>
      <c r="G45" s="379">
        <v>5</v>
      </c>
      <c r="H45" s="380">
        <v>6</v>
      </c>
      <c r="I45" s="381">
        <v>19.322848199999999</v>
      </c>
      <c r="J45" s="382">
        <v>710</v>
      </c>
      <c r="K45" s="383" t="s">
        <v>71</v>
      </c>
      <c r="L45" s="382">
        <v>670</v>
      </c>
      <c r="M45" s="382">
        <v>742</v>
      </c>
      <c r="N45" s="382">
        <v>900</v>
      </c>
      <c r="O45" s="384" t="s">
        <v>71</v>
      </c>
      <c r="P45" s="380">
        <v>17.3</v>
      </c>
      <c r="Q45" s="384" t="s">
        <v>71</v>
      </c>
      <c r="R45" s="385"/>
    </row>
    <row r="46" spans="2:18" s="243" customFormat="1" ht="30" x14ac:dyDescent="0.2">
      <c r="B46" s="370" t="s">
        <v>24</v>
      </c>
      <c r="C46" s="248" t="s">
        <v>84</v>
      </c>
      <c r="D46" s="249" t="s">
        <v>248</v>
      </c>
      <c r="E46" s="249" t="s">
        <v>70</v>
      </c>
      <c r="F46" s="250" t="s">
        <v>126</v>
      </c>
      <c r="G46" s="251">
        <v>5</v>
      </c>
      <c r="H46" s="252">
        <v>6</v>
      </c>
      <c r="I46" s="253">
        <v>19.322848199999999</v>
      </c>
      <c r="J46" s="254">
        <v>490</v>
      </c>
      <c r="K46" s="255" t="s">
        <v>71</v>
      </c>
      <c r="L46" s="254">
        <v>490</v>
      </c>
      <c r="M46" s="254">
        <v>523</v>
      </c>
      <c r="N46" s="254">
        <v>640</v>
      </c>
      <c r="O46" s="256" t="s">
        <v>71</v>
      </c>
      <c r="P46" s="252">
        <v>13.1</v>
      </c>
      <c r="Q46" s="256" t="s">
        <v>71</v>
      </c>
      <c r="R46" s="371" t="s">
        <v>249</v>
      </c>
    </row>
    <row r="47" spans="2:18" s="243" customFormat="1" x14ac:dyDescent="0.2">
      <c r="B47" s="375" t="s">
        <v>250</v>
      </c>
      <c r="C47" s="376" t="s">
        <v>84</v>
      </c>
      <c r="D47" s="377" t="s">
        <v>251</v>
      </c>
      <c r="E47" s="377" t="s">
        <v>70</v>
      </c>
      <c r="F47" s="378" t="s">
        <v>126</v>
      </c>
      <c r="G47" s="379">
        <v>5</v>
      </c>
      <c r="H47" s="380">
        <v>6</v>
      </c>
      <c r="I47" s="381">
        <v>19.322848199999999</v>
      </c>
      <c r="J47" s="382">
        <v>490</v>
      </c>
      <c r="K47" s="383" t="s">
        <v>71</v>
      </c>
      <c r="L47" s="382">
        <v>490</v>
      </c>
      <c r="M47" s="382">
        <v>523</v>
      </c>
      <c r="N47" s="382">
        <v>640</v>
      </c>
      <c r="O47" s="384" t="s">
        <v>71</v>
      </c>
      <c r="P47" s="380">
        <v>13.1</v>
      </c>
      <c r="Q47" s="384" t="s">
        <v>71</v>
      </c>
      <c r="R47" s="385"/>
    </row>
    <row r="48" spans="2:18" s="243" customFormat="1" x14ac:dyDescent="0.2">
      <c r="B48" s="370" t="s">
        <v>252</v>
      </c>
      <c r="C48" s="248" t="s">
        <v>84</v>
      </c>
      <c r="D48" s="249" t="s">
        <v>253</v>
      </c>
      <c r="E48" s="249" t="s">
        <v>254</v>
      </c>
      <c r="F48" s="250" t="s">
        <v>126</v>
      </c>
      <c r="G48" s="251">
        <v>5</v>
      </c>
      <c r="H48" s="252">
        <v>6</v>
      </c>
      <c r="I48" s="253">
        <v>19.322848199999999</v>
      </c>
      <c r="J48" s="254">
        <v>490</v>
      </c>
      <c r="K48" s="255" t="s">
        <v>71</v>
      </c>
      <c r="L48" s="254">
        <v>490</v>
      </c>
      <c r="M48" s="254">
        <v>523</v>
      </c>
      <c r="N48" s="254">
        <v>640</v>
      </c>
      <c r="O48" s="256" t="s">
        <v>71</v>
      </c>
      <c r="P48" s="252">
        <v>13.1</v>
      </c>
      <c r="Q48" s="256" t="s">
        <v>71</v>
      </c>
      <c r="R48" s="371"/>
    </row>
    <row r="49" spans="2:18" s="243" customFormat="1" ht="45" x14ac:dyDescent="0.2">
      <c r="B49" s="375" t="s">
        <v>27</v>
      </c>
      <c r="C49" s="376" t="s">
        <v>85</v>
      </c>
      <c r="D49" s="377" t="s">
        <v>255</v>
      </c>
      <c r="E49" s="377" t="s">
        <v>256</v>
      </c>
      <c r="F49" s="378" t="s">
        <v>126</v>
      </c>
      <c r="G49" s="379">
        <v>5</v>
      </c>
      <c r="H49" s="380">
        <v>6</v>
      </c>
      <c r="I49" s="381">
        <v>19.322848199999999</v>
      </c>
      <c r="J49" s="382">
        <v>670</v>
      </c>
      <c r="K49" s="383" t="s">
        <v>71</v>
      </c>
      <c r="L49" s="382">
        <v>450</v>
      </c>
      <c r="M49" s="382">
        <v>702</v>
      </c>
      <c r="N49" s="382">
        <v>860</v>
      </c>
      <c r="O49" s="384" t="s">
        <v>71</v>
      </c>
      <c r="P49" s="380">
        <v>13.2</v>
      </c>
      <c r="Q49" s="384" t="s">
        <v>71</v>
      </c>
      <c r="R49" s="385"/>
    </row>
    <row r="50" spans="2:18" s="243" customFormat="1" x14ac:dyDescent="0.2">
      <c r="B50" s="370" t="s">
        <v>257</v>
      </c>
      <c r="C50" s="248" t="s">
        <v>258</v>
      </c>
      <c r="D50" s="249" t="s">
        <v>259</v>
      </c>
      <c r="E50" s="249" t="s">
        <v>70</v>
      </c>
      <c r="F50" s="250" t="s">
        <v>126</v>
      </c>
      <c r="G50" s="251">
        <v>5</v>
      </c>
      <c r="H50" s="252">
        <v>6</v>
      </c>
      <c r="I50" s="253">
        <v>19.322848199999999</v>
      </c>
      <c r="J50" s="254">
        <v>700</v>
      </c>
      <c r="K50" s="255" t="s">
        <v>71</v>
      </c>
      <c r="L50" s="254">
        <v>720</v>
      </c>
      <c r="M50" s="254" t="s">
        <v>152</v>
      </c>
      <c r="N50" s="254">
        <v>770</v>
      </c>
      <c r="O50" s="256" t="s">
        <v>157</v>
      </c>
      <c r="P50" s="252">
        <v>32.4</v>
      </c>
      <c r="Q50" s="256" t="s">
        <v>157</v>
      </c>
      <c r="R50" s="371" t="s">
        <v>204</v>
      </c>
    </row>
    <row r="51" spans="2:18" s="243" customFormat="1" x14ac:dyDescent="0.2">
      <c r="B51" s="375" t="s">
        <v>33</v>
      </c>
      <c r="C51" s="376" t="s">
        <v>86</v>
      </c>
      <c r="D51" s="377" t="s">
        <v>260</v>
      </c>
      <c r="E51" s="377" t="s">
        <v>261</v>
      </c>
      <c r="F51" s="378" t="s">
        <v>126</v>
      </c>
      <c r="G51" s="379">
        <v>5</v>
      </c>
      <c r="H51" s="380">
        <v>6</v>
      </c>
      <c r="I51" s="381">
        <v>19.322848199999999</v>
      </c>
      <c r="J51" s="382">
        <v>560</v>
      </c>
      <c r="K51" s="383" t="s">
        <v>71</v>
      </c>
      <c r="L51" s="382" t="s">
        <v>152</v>
      </c>
      <c r="M51" s="382" t="s">
        <v>152</v>
      </c>
      <c r="N51" s="382" t="s">
        <v>152</v>
      </c>
      <c r="O51" s="384" t="s">
        <v>70</v>
      </c>
      <c r="P51" s="380">
        <v>13.4</v>
      </c>
      <c r="Q51" s="384" t="s">
        <v>209</v>
      </c>
      <c r="R51" s="385" t="s">
        <v>245</v>
      </c>
    </row>
    <row r="52" spans="2:18" s="243" customFormat="1" x14ac:dyDescent="0.2">
      <c r="B52" s="370" t="s">
        <v>262</v>
      </c>
      <c r="C52" s="248" t="s">
        <v>263</v>
      </c>
      <c r="D52" s="249" t="s">
        <v>264</v>
      </c>
      <c r="E52" s="249" t="s">
        <v>265</v>
      </c>
      <c r="F52" s="250" t="s">
        <v>126</v>
      </c>
      <c r="G52" s="251">
        <v>5</v>
      </c>
      <c r="H52" s="252">
        <v>6</v>
      </c>
      <c r="I52" s="253">
        <v>19.322848199999999</v>
      </c>
      <c r="J52" s="254">
        <v>760</v>
      </c>
      <c r="K52" s="255" t="s">
        <v>71</v>
      </c>
      <c r="L52" s="254">
        <v>700</v>
      </c>
      <c r="M52" s="254">
        <v>800</v>
      </c>
      <c r="N52" s="254">
        <v>840</v>
      </c>
      <c r="O52" s="256" t="s">
        <v>157</v>
      </c>
      <c r="P52" s="252">
        <v>19.8</v>
      </c>
      <c r="Q52" s="256" t="s">
        <v>157</v>
      </c>
      <c r="R52" s="371"/>
    </row>
    <row r="53" spans="2:18" s="243" customFormat="1" ht="30" x14ac:dyDescent="0.2">
      <c r="B53" s="375" t="s">
        <v>266</v>
      </c>
      <c r="C53" s="376" t="s">
        <v>97</v>
      </c>
      <c r="D53" s="377" t="s">
        <v>267</v>
      </c>
      <c r="E53" s="377" t="s">
        <v>268</v>
      </c>
      <c r="F53" s="378" t="s">
        <v>126</v>
      </c>
      <c r="G53" s="379">
        <v>5</v>
      </c>
      <c r="H53" s="380">
        <v>6</v>
      </c>
      <c r="I53" s="381">
        <v>19.322848199999999</v>
      </c>
      <c r="J53" s="382">
        <v>530</v>
      </c>
      <c r="K53" s="383" t="s">
        <v>71</v>
      </c>
      <c r="L53" s="382" t="s">
        <v>152</v>
      </c>
      <c r="M53" s="382">
        <v>563</v>
      </c>
      <c r="N53" s="382" t="s">
        <v>152</v>
      </c>
      <c r="O53" s="384" t="s">
        <v>71</v>
      </c>
      <c r="P53" s="380">
        <v>11.3</v>
      </c>
      <c r="Q53" s="384" t="s">
        <v>71</v>
      </c>
      <c r="R53" s="385"/>
    </row>
    <row r="54" spans="2:18" s="243" customFormat="1" ht="30" x14ac:dyDescent="0.2">
      <c r="B54" s="370" t="s">
        <v>269</v>
      </c>
      <c r="C54" s="248" t="s">
        <v>270</v>
      </c>
      <c r="D54" s="249" t="s">
        <v>271</v>
      </c>
      <c r="E54" s="249" t="s">
        <v>70</v>
      </c>
      <c r="F54" s="250" t="s">
        <v>126</v>
      </c>
      <c r="G54" s="251">
        <v>5</v>
      </c>
      <c r="H54" s="252">
        <v>6</v>
      </c>
      <c r="I54" s="253">
        <v>19.322848199999999</v>
      </c>
      <c r="J54" s="254">
        <v>510</v>
      </c>
      <c r="K54" s="255" t="s">
        <v>71</v>
      </c>
      <c r="L54" s="254">
        <v>500</v>
      </c>
      <c r="M54" s="254">
        <v>550</v>
      </c>
      <c r="N54" s="254">
        <v>590</v>
      </c>
      <c r="O54" s="256" t="s">
        <v>157</v>
      </c>
      <c r="P54" s="252">
        <v>11</v>
      </c>
      <c r="Q54" s="256" t="s">
        <v>157</v>
      </c>
      <c r="R54" s="371"/>
    </row>
    <row r="55" spans="2:18" s="243" customFormat="1" ht="30" x14ac:dyDescent="0.2">
      <c r="B55" s="375" t="s">
        <v>272</v>
      </c>
      <c r="C55" s="376" t="s">
        <v>273</v>
      </c>
      <c r="D55" s="377" t="s">
        <v>274</v>
      </c>
      <c r="E55" s="377" t="s">
        <v>70</v>
      </c>
      <c r="F55" s="378" t="s">
        <v>126</v>
      </c>
      <c r="G55" s="379">
        <v>5</v>
      </c>
      <c r="H55" s="380">
        <v>6</v>
      </c>
      <c r="I55" s="381">
        <v>19.322848199999999</v>
      </c>
      <c r="J55" s="382">
        <v>510</v>
      </c>
      <c r="K55" s="383" t="s">
        <v>71</v>
      </c>
      <c r="L55" s="382" t="s">
        <v>152</v>
      </c>
      <c r="M55" s="382" t="s">
        <v>152</v>
      </c>
      <c r="N55" s="382" t="s">
        <v>152</v>
      </c>
      <c r="O55" s="384" t="s">
        <v>70</v>
      </c>
      <c r="P55" s="380">
        <v>13.7</v>
      </c>
      <c r="Q55" s="384" t="s">
        <v>107</v>
      </c>
      <c r="R55" s="385" t="s">
        <v>278</v>
      </c>
    </row>
    <row r="56" spans="2:18" s="243" customFormat="1" ht="45" x14ac:dyDescent="0.2">
      <c r="B56" s="370" t="s">
        <v>275</v>
      </c>
      <c r="C56" s="248" t="s">
        <v>100</v>
      </c>
      <c r="D56" s="249" t="s">
        <v>276</v>
      </c>
      <c r="E56" s="249" t="s">
        <v>277</v>
      </c>
      <c r="F56" s="250" t="s">
        <v>126</v>
      </c>
      <c r="G56" s="251">
        <v>5</v>
      </c>
      <c r="H56" s="252">
        <v>6</v>
      </c>
      <c r="I56" s="253">
        <v>19.322848199999999</v>
      </c>
      <c r="J56" s="254">
        <v>570</v>
      </c>
      <c r="K56" s="255" t="s">
        <v>71</v>
      </c>
      <c r="L56" s="254">
        <v>520</v>
      </c>
      <c r="M56" s="254">
        <v>603</v>
      </c>
      <c r="N56" s="254">
        <v>700</v>
      </c>
      <c r="O56" s="256" t="s">
        <v>71</v>
      </c>
      <c r="P56" s="252">
        <v>13.7</v>
      </c>
      <c r="Q56" s="256" t="s">
        <v>71</v>
      </c>
      <c r="R56" s="371"/>
    </row>
    <row r="57" spans="2:18" s="243" customFormat="1" ht="30" x14ac:dyDescent="0.2">
      <c r="B57" s="375" t="s">
        <v>101</v>
      </c>
      <c r="C57" s="376" t="s">
        <v>102</v>
      </c>
      <c r="D57" s="377" t="s">
        <v>70</v>
      </c>
      <c r="E57" s="377" t="s">
        <v>70</v>
      </c>
      <c r="F57" s="378" t="s">
        <v>126</v>
      </c>
      <c r="G57" s="379">
        <v>5</v>
      </c>
      <c r="H57" s="380">
        <v>6</v>
      </c>
      <c r="I57" s="381">
        <v>19.322848199999999</v>
      </c>
      <c r="J57" s="382">
        <v>520</v>
      </c>
      <c r="K57" s="383" t="s">
        <v>71</v>
      </c>
      <c r="L57" s="382">
        <v>250</v>
      </c>
      <c r="M57" s="382">
        <v>553</v>
      </c>
      <c r="N57" s="382">
        <v>600</v>
      </c>
      <c r="O57" s="384" t="s">
        <v>71</v>
      </c>
      <c r="P57" s="380">
        <v>14.9</v>
      </c>
      <c r="Q57" s="384" t="s">
        <v>71</v>
      </c>
      <c r="R57" s="385" t="s">
        <v>279</v>
      </c>
    </row>
    <row r="58" spans="2:18" s="243" customFormat="1" ht="45" x14ac:dyDescent="0.2">
      <c r="B58" s="370" t="s">
        <v>280</v>
      </c>
      <c r="C58" s="248" t="s">
        <v>102</v>
      </c>
      <c r="D58" s="249" t="s">
        <v>281</v>
      </c>
      <c r="E58" s="249" t="s">
        <v>70</v>
      </c>
      <c r="F58" s="250" t="s">
        <v>126</v>
      </c>
      <c r="G58" s="251">
        <v>5</v>
      </c>
      <c r="H58" s="252">
        <v>6</v>
      </c>
      <c r="I58" s="253">
        <v>19.322848199999999</v>
      </c>
      <c r="J58" s="254">
        <v>520</v>
      </c>
      <c r="K58" s="255" t="s">
        <v>71</v>
      </c>
      <c r="L58" s="254">
        <v>250</v>
      </c>
      <c r="M58" s="254">
        <v>553</v>
      </c>
      <c r="N58" s="254">
        <v>600</v>
      </c>
      <c r="O58" s="256" t="s">
        <v>71</v>
      </c>
      <c r="P58" s="252">
        <v>14.9</v>
      </c>
      <c r="Q58" s="256" t="s">
        <v>71</v>
      </c>
      <c r="R58" s="371"/>
    </row>
    <row r="59" spans="2:18" s="243" customFormat="1" ht="45" x14ac:dyDescent="0.2">
      <c r="B59" s="375" t="s">
        <v>282</v>
      </c>
      <c r="C59" s="376" t="s">
        <v>102</v>
      </c>
      <c r="D59" s="377" t="s">
        <v>283</v>
      </c>
      <c r="E59" s="377" t="s">
        <v>70</v>
      </c>
      <c r="F59" s="378" t="s">
        <v>126</v>
      </c>
      <c r="G59" s="379">
        <v>5</v>
      </c>
      <c r="H59" s="380">
        <v>6</v>
      </c>
      <c r="I59" s="381">
        <v>19.322848199999999</v>
      </c>
      <c r="J59" s="382">
        <v>520</v>
      </c>
      <c r="K59" s="383" t="s">
        <v>71</v>
      </c>
      <c r="L59" s="382">
        <v>250</v>
      </c>
      <c r="M59" s="382">
        <v>553</v>
      </c>
      <c r="N59" s="382">
        <v>600</v>
      </c>
      <c r="O59" s="384" t="s">
        <v>71</v>
      </c>
      <c r="P59" s="380">
        <v>14.9</v>
      </c>
      <c r="Q59" s="384" t="s">
        <v>71</v>
      </c>
      <c r="R59" s="385"/>
    </row>
    <row r="60" spans="2:18" s="243" customFormat="1" ht="30" x14ac:dyDescent="0.2">
      <c r="B60" s="370" t="s">
        <v>284</v>
      </c>
      <c r="C60" s="248" t="s">
        <v>285</v>
      </c>
      <c r="D60" s="249" t="s">
        <v>286</v>
      </c>
      <c r="E60" s="249" t="s">
        <v>287</v>
      </c>
      <c r="F60" s="250" t="s">
        <v>126</v>
      </c>
      <c r="G60" s="251">
        <v>5</v>
      </c>
      <c r="H60" s="252">
        <v>6</v>
      </c>
      <c r="I60" s="253">
        <v>19.322848199999999</v>
      </c>
      <c r="J60" s="254">
        <v>460</v>
      </c>
      <c r="K60" s="255" t="s">
        <v>71</v>
      </c>
      <c r="L60" s="254">
        <v>450</v>
      </c>
      <c r="M60" s="254">
        <v>510</v>
      </c>
      <c r="N60" s="254">
        <v>620</v>
      </c>
      <c r="O60" s="256" t="s">
        <v>157</v>
      </c>
      <c r="P60" s="252">
        <v>9.1</v>
      </c>
      <c r="Q60" s="256" t="s">
        <v>157</v>
      </c>
      <c r="R60" s="371"/>
    </row>
    <row r="61" spans="2:18" s="243" customFormat="1" ht="30" x14ac:dyDescent="0.2">
      <c r="B61" s="375" t="s">
        <v>288</v>
      </c>
      <c r="C61" s="376" t="s">
        <v>289</v>
      </c>
      <c r="D61" s="377" t="s">
        <v>290</v>
      </c>
      <c r="E61" s="377" t="s">
        <v>70</v>
      </c>
      <c r="F61" s="378" t="s">
        <v>126</v>
      </c>
      <c r="G61" s="379">
        <v>5</v>
      </c>
      <c r="H61" s="380">
        <v>6</v>
      </c>
      <c r="I61" s="381">
        <v>19.322848199999999</v>
      </c>
      <c r="J61" s="382">
        <v>700</v>
      </c>
      <c r="K61" s="383" t="s">
        <v>71</v>
      </c>
      <c r="L61" s="382" t="s">
        <v>152</v>
      </c>
      <c r="M61" s="382" t="s">
        <v>152</v>
      </c>
      <c r="N61" s="382" t="s">
        <v>152</v>
      </c>
      <c r="O61" s="384" t="s">
        <v>70</v>
      </c>
      <c r="P61" s="380">
        <v>17.7</v>
      </c>
      <c r="Q61" s="384" t="s">
        <v>107</v>
      </c>
      <c r="R61" s="385" t="s">
        <v>294</v>
      </c>
    </row>
    <row r="62" spans="2:18" s="243" customFormat="1" ht="30" x14ac:dyDescent="0.2">
      <c r="B62" s="370" t="s">
        <v>291</v>
      </c>
      <c r="C62" s="248" t="s">
        <v>70</v>
      </c>
      <c r="D62" s="249" t="s">
        <v>292</v>
      </c>
      <c r="E62" s="249" t="s">
        <v>293</v>
      </c>
      <c r="F62" s="250" t="s">
        <v>126</v>
      </c>
      <c r="G62" s="251">
        <v>5</v>
      </c>
      <c r="H62" s="252">
        <v>6</v>
      </c>
      <c r="I62" s="253">
        <v>19.322848199999999</v>
      </c>
      <c r="J62" s="254">
        <v>560</v>
      </c>
      <c r="K62" s="255" t="s">
        <v>71</v>
      </c>
      <c r="L62" s="254">
        <v>580</v>
      </c>
      <c r="M62" s="254">
        <v>640</v>
      </c>
      <c r="N62" s="254">
        <v>810</v>
      </c>
      <c r="O62" s="256" t="s">
        <v>157</v>
      </c>
      <c r="P62" s="252">
        <v>12.7</v>
      </c>
      <c r="Q62" s="256" t="s">
        <v>157</v>
      </c>
      <c r="R62" s="371"/>
    </row>
    <row r="63" spans="2:18" s="243" customFormat="1" ht="30" x14ac:dyDescent="0.2">
      <c r="B63" s="375" t="s">
        <v>295</v>
      </c>
      <c r="C63" s="376" t="s">
        <v>103</v>
      </c>
      <c r="D63" s="377" t="s">
        <v>296</v>
      </c>
      <c r="E63" s="377" t="s">
        <v>297</v>
      </c>
      <c r="F63" s="378" t="s">
        <v>126</v>
      </c>
      <c r="G63" s="379">
        <v>5</v>
      </c>
      <c r="H63" s="380">
        <v>6</v>
      </c>
      <c r="I63" s="381">
        <v>19.322848199999999</v>
      </c>
      <c r="J63" s="382">
        <v>640</v>
      </c>
      <c r="K63" s="383" t="s">
        <v>71</v>
      </c>
      <c r="L63" s="382">
        <v>570</v>
      </c>
      <c r="M63" s="382">
        <v>673</v>
      </c>
      <c r="N63" s="382">
        <v>810</v>
      </c>
      <c r="O63" s="384" t="s">
        <v>71</v>
      </c>
      <c r="P63" s="380">
        <v>13.4</v>
      </c>
      <c r="Q63" s="384" t="s">
        <v>71</v>
      </c>
      <c r="R63" s="385"/>
    </row>
    <row r="64" spans="2:18" s="243" customFormat="1" ht="45" x14ac:dyDescent="0.2">
      <c r="B64" s="370" t="s">
        <v>22</v>
      </c>
      <c r="C64" s="248" t="s">
        <v>87</v>
      </c>
      <c r="D64" s="249" t="s">
        <v>70</v>
      </c>
      <c r="E64" s="249" t="s">
        <v>70</v>
      </c>
      <c r="F64" s="250" t="s">
        <v>126</v>
      </c>
      <c r="G64" s="251">
        <v>5</v>
      </c>
      <c r="H64" s="252">
        <v>6</v>
      </c>
      <c r="I64" s="253">
        <v>19.322848199999999</v>
      </c>
      <c r="J64" s="254">
        <v>410</v>
      </c>
      <c r="K64" s="255" t="s">
        <v>71</v>
      </c>
      <c r="L64" s="254">
        <v>410</v>
      </c>
      <c r="M64" s="254">
        <v>441</v>
      </c>
      <c r="N64" s="254">
        <v>560</v>
      </c>
      <c r="O64" s="256" t="s">
        <v>71</v>
      </c>
      <c r="P64" s="252">
        <v>13.8</v>
      </c>
      <c r="Q64" s="256" t="s">
        <v>71</v>
      </c>
      <c r="R64" s="371" t="s">
        <v>357</v>
      </c>
    </row>
    <row r="65" spans="2:18" s="243" customFormat="1" x14ac:dyDescent="0.2">
      <c r="B65" s="375" t="s">
        <v>298</v>
      </c>
      <c r="C65" s="376" t="s">
        <v>87</v>
      </c>
      <c r="D65" s="377" t="s">
        <v>299</v>
      </c>
      <c r="E65" s="377" t="s">
        <v>70</v>
      </c>
      <c r="F65" s="378" t="s">
        <v>126</v>
      </c>
      <c r="G65" s="379">
        <v>5</v>
      </c>
      <c r="H65" s="380">
        <v>6</v>
      </c>
      <c r="I65" s="381">
        <v>19.322848199999999</v>
      </c>
      <c r="J65" s="382">
        <v>410</v>
      </c>
      <c r="K65" s="383" t="s">
        <v>71</v>
      </c>
      <c r="L65" s="382">
        <v>410</v>
      </c>
      <c r="M65" s="382">
        <v>441</v>
      </c>
      <c r="N65" s="382">
        <v>560</v>
      </c>
      <c r="O65" s="384" t="s">
        <v>71</v>
      </c>
      <c r="P65" s="380">
        <v>13.8</v>
      </c>
      <c r="Q65" s="384" t="s">
        <v>71</v>
      </c>
      <c r="R65" s="385"/>
    </row>
    <row r="66" spans="2:18" s="243" customFormat="1" ht="45" x14ac:dyDescent="0.2">
      <c r="B66" s="370" t="s">
        <v>300</v>
      </c>
      <c r="C66" s="250" t="s">
        <v>93</v>
      </c>
      <c r="D66" s="257" t="s">
        <v>301</v>
      </c>
      <c r="E66" s="257" t="s">
        <v>302</v>
      </c>
      <c r="F66" s="250" t="s">
        <v>126</v>
      </c>
      <c r="G66" s="251">
        <v>5</v>
      </c>
      <c r="H66" s="252">
        <v>6</v>
      </c>
      <c r="I66" s="253">
        <v>19.322848199999999</v>
      </c>
      <c r="J66" s="254">
        <v>450</v>
      </c>
      <c r="K66" s="255" t="s">
        <v>71</v>
      </c>
      <c r="L66" s="254">
        <v>400</v>
      </c>
      <c r="M66" s="254">
        <v>482</v>
      </c>
      <c r="N66" s="254">
        <v>600</v>
      </c>
      <c r="O66" s="256" t="s">
        <v>71</v>
      </c>
      <c r="P66" s="252">
        <v>12</v>
      </c>
      <c r="Q66" s="256" t="s">
        <v>71</v>
      </c>
      <c r="R66" s="371" t="s">
        <v>356</v>
      </c>
    </row>
    <row r="67" spans="2:18" s="243" customFormat="1" ht="45" x14ac:dyDescent="0.2">
      <c r="B67" s="375" t="s">
        <v>303</v>
      </c>
      <c r="C67" s="378" t="s">
        <v>304</v>
      </c>
      <c r="D67" s="394" t="s">
        <v>305</v>
      </c>
      <c r="E67" s="394" t="s">
        <v>70</v>
      </c>
      <c r="F67" s="378" t="s">
        <v>126</v>
      </c>
      <c r="G67" s="379">
        <v>5</v>
      </c>
      <c r="H67" s="380">
        <v>6</v>
      </c>
      <c r="I67" s="381">
        <v>19.322848199999999</v>
      </c>
      <c r="J67" s="382">
        <v>600</v>
      </c>
      <c r="K67" s="383" t="s">
        <v>71</v>
      </c>
      <c r="L67" s="382">
        <v>420</v>
      </c>
      <c r="M67" s="382">
        <v>630</v>
      </c>
      <c r="N67" s="382">
        <v>690</v>
      </c>
      <c r="O67" s="384" t="s">
        <v>106</v>
      </c>
      <c r="P67" s="380">
        <v>13.7</v>
      </c>
      <c r="Q67" s="384" t="s">
        <v>106</v>
      </c>
      <c r="R67" s="385"/>
    </row>
    <row r="68" spans="2:18" s="243" customFormat="1" ht="30" x14ac:dyDescent="0.2">
      <c r="B68" s="370" t="s">
        <v>34</v>
      </c>
      <c r="C68" s="248" t="s">
        <v>88</v>
      </c>
      <c r="D68" s="249" t="s">
        <v>306</v>
      </c>
      <c r="E68" s="249" t="s">
        <v>307</v>
      </c>
      <c r="F68" s="250" t="s">
        <v>126</v>
      </c>
      <c r="G68" s="251">
        <v>5</v>
      </c>
      <c r="H68" s="252">
        <v>6</v>
      </c>
      <c r="I68" s="253">
        <v>19.322848199999999</v>
      </c>
      <c r="J68" s="254">
        <v>730</v>
      </c>
      <c r="K68" s="255" t="s">
        <v>71</v>
      </c>
      <c r="L68" s="254">
        <v>580</v>
      </c>
      <c r="M68" s="254">
        <v>761</v>
      </c>
      <c r="N68" s="254">
        <v>900</v>
      </c>
      <c r="O68" s="256" t="s">
        <v>71</v>
      </c>
      <c r="P68" s="252">
        <v>10.6</v>
      </c>
      <c r="Q68" s="256" t="s">
        <v>71</v>
      </c>
      <c r="R68" s="371"/>
    </row>
    <row r="69" spans="2:18" s="243" customFormat="1" x14ac:dyDescent="0.2">
      <c r="B69" s="375" t="s">
        <v>308</v>
      </c>
      <c r="C69" s="378" t="s">
        <v>309</v>
      </c>
      <c r="D69" s="394" t="s">
        <v>310</v>
      </c>
      <c r="E69" s="394" t="s">
        <v>70</v>
      </c>
      <c r="F69" s="378" t="s">
        <v>126</v>
      </c>
      <c r="G69" s="379">
        <v>5</v>
      </c>
      <c r="H69" s="380">
        <v>6</v>
      </c>
      <c r="I69" s="381">
        <v>19.322848199999999</v>
      </c>
      <c r="J69" s="382">
        <v>650</v>
      </c>
      <c r="K69" s="383" t="s">
        <v>71</v>
      </c>
      <c r="L69" s="382" t="s">
        <v>70</v>
      </c>
      <c r="M69" s="382">
        <v>683</v>
      </c>
      <c r="N69" s="382" t="s">
        <v>70</v>
      </c>
      <c r="O69" s="384" t="s">
        <v>71</v>
      </c>
      <c r="P69" s="380">
        <v>8.8000000000000007</v>
      </c>
      <c r="Q69" s="384" t="s">
        <v>71</v>
      </c>
      <c r="R69" s="385" t="s">
        <v>311</v>
      </c>
    </row>
    <row r="70" spans="2:18" s="243" customFormat="1" x14ac:dyDescent="0.2">
      <c r="B70" s="370" t="s">
        <v>104</v>
      </c>
      <c r="C70" s="248" t="s">
        <v>105</v>
      </c>
      <c r="D70" s="249" t="s">
        <v>312</v>
      </c>
      <c r="E70" s="249" t="s">
        <v>313</v>
      </c>
      <c r="F70" s="250" t="s">
        <v>126</v>
      </c>
      <c r="G70" s="251">
        <v>5</v>
      </c>
      <c r="H70" s="252">
        <v>6</v>
      </c>
      <c r="I70" s="253">
        <v>19.322848199999999</v>
      </c>
      <c r="J70" s="254">
        <v>640</v>
      </c>
      <c r="K70" s="255" t="s">
        <v>71</v>
      </c>
      <c r="L70" s="254">
        <v>480</v>
      </c>
      <c r="M70" s="254">
        <v>673</v>
      </c>
      <c r="N70" s="254">
        <v>860</v>
      </c>
      <c r="O70" s="256" t="s">
        <v>71</v>
      </c>
      <c r="P70" s="252">
        <v>13.2</v>
      </c>
      <c r="Q70" s="256" t="s">
        <v>71</v>
      </c>
      <c r="R70" s="371"/>
    </row>
    <row r="71" spans="2:18" s="243" customFormat="1" x14ac:dyDescent="0.2">
      <c r="B71" s="375" t="s">
        <v>314</v>
      </c>
      <c r="C71" s="376" t="s">
        <v>70</v>
      </c>
      <c r="D71" s="377" t="s">
        <v>315</v>
      </c>
      <c r="E71" s="377" t="s">
        <v>316</v>
      </c>
      <c r="F71" s="378" t="s">
        <v>126</v>
      </c>
      <c r="G71" s="379">
        <v>5</v>
      </c>
      <c r="H71" s="380">
        <v>6</v>
      </c>
      <c r="I71" s="381">
        <v>19.322848199999999</v>
      </c>
      <c r="J71" s="382">
        <v>640</v>
      </c>
      <c r="K71" s="383" t="s">
        <v>106</v>
      </c>
      <c r="L71" s="382">
        <v>480</v>
      </c>
      <c r="M71" s="382">
        <v>680</v>
      </c>
      <c r="N71" s="382">
        <v>860</v>
      </c>
      <c r="O71" s="384" t="s">
        <v>106</v>
      </c>
      <c r="P71" s="380">
        <v>13.2</v>
      </c>
      <c r="Q71" s="384" t="s">
        <v>106</v>
      </c>
      <c r="R71" s="385"/>
    </row>
    <row r="72" spans="2:18" s="243" customFormat="1" x14ac:dyDescent="0.2">
      <c r="B72" s="370" t="s">
        <v>317</v>
      </c>
      <c r="C72" s="248" t="s">
        <v>70</v>
      </c>
      <c r="D72" s="249" t="s">
        <v>318</v>
      </c>
      <c r="E72" s="249" t="s">
        <v>319</v>
      </c>
      <c r="F72" s="250" t="s">
        <v>126</v>
      </c>
      <c r="G72" s="251">
        <v>5</v>
      </c>
      <c r="H72" s="252">
        <v>6</v>
      </c>
      <c r="I72" s="253">
        <v>19.322848199999999</v>
      </c>
      <c r="J72" s="254">
        <v>640</v>
      </c>
      <c r="K72" s="255" t="s">
        <v>106</v>
      </c>
      <c r="L72" s="254">
        <v>480</v>
      </c>
      <c r="M72" s="254">
        <v>680</v>
      </c>
      <c r="N72" s="254">
        <v>860</v>
      </c>
      <c r="O72" s="256" t="s">
        <v>106</v>
      </c>
      <c r="P72" s="252">
        <v>13.2</v>
      </c>
      <c r="Q72" s="256" t="s">
        <v>106</v>
      </c>
      <c r="R72" s="371"/>
    </row>
    <row r="73" spans="2:18" s="243" customFormat="1" x14ac:dyDescent="0.2">
      <c r="B73" s="375" t="s">
        <v>320</v>
      </c>
      <c r="C73" s="376" t="s">
        <v>70</v>
      </c>
      <c r="D73" s="377" t="s">
        <v>321</v>
      </c>
      <c r="E73" s="377" t="s">
        <v>70</v>
      </c>
      <c r="F73" s="378" t="s">
        <v>126</v>
      </c>
      <c r="G73" s="379">
        <v>5</v>
      </c>
      <c r="H73" s="380">
        <v>6</v>
      </c>
      <c r="I73" s="381">
        <v>19.322848199999999</v>
      </c>
      <c r="J73" s="382">
        <v>550</v>
      </c>
      <c r="K73" s="383" t="s">
        <v>106</v>
      </c>
      <c r="L73" s="382">
        <v>480</v>
      </c>
      <c r="M73" s="382">
        <v>680</v>
      </c>
      <c r="N73" s="382">
        <v>860</v>
      </c>
      <c r="O73" s="384" t="s">
        <v>106</v>
      </c>
      <c r="P73" s="380">
        <v>15.5</v>
      </c>
      <c r="Q73" s="384" t="s">
        <v>106</v>
      </c>
      <c r="R73" s="385"/>
    </row>
    <row r="74" spans="2:18" s="243" customFormat="1" ht="30" x14ac:dyDescent="0.2">
      <c r="B74" s="370" t="s">
        <v>322</v>
      </c>
      <c r="C74" s="248" t="s">
        <v>323</v>
      </c>
      <c r="D74" s="249" t="s">
        <v>324</v>
      </c>
      <c r="E74" s="249" t="s">
        <v>325</v>
      </c>
      <c r="F74" s="250" t="s">
        <v>126</v>
      </c>
      <c r="G74" s="251">
        <v>5</v>
      </c>
      <c r="H74" s="252">
        <v>6</v>
      </c>
      <c r="I74" s="253">
        <v>19.322848199999999</v>
      </c>
      <c r="J74" s="254">
        <v>620</v>
      </c>
      <c r="K74" s="255" t="s">
        <v>71</v>
      </c>
      <c r="L74" s="254">
        <v>690</v>
      </c>
      <c r="M74" s="254">
        <v>750</v>
      </c>
      <c r="N74" s="254">
        <v>780</v>
      </c>
      <c r="O74" s="256" t="s">
        <v>157</v>
      </c>
      <c r="P74" s="252">
        <v>18</v>
      </c>
      <c r="Q74" s="256" t="s">
        <v>157</v>
      </c>
      <c r="R74" s="371"/>
    </row>
    <row r="75" spans="2:18" s="243" customFormat="1" x14ac:dyDescent="0.2">
      <c r="B75" s="375" t="s">
        <v>32</v>
      </c>
      <c r="C75" s="376" t="s">
        <v>90</v>
      </c>
      <c r="D75" s="377" t="s">
        <v>326</v>
      </c>
      <c r="E75" s="377" t="s">
        <v>70</v>
      </c>
      <c r="F75" s="378" t="s">
        <v>126</v>
      </c>
      <c r="G75" s="379">
        <v>5</v>
      </c>
      <c r="H75" s="380">
        <v>6</v>
      </c>
      <c r="I75" s="381">
        <v>19.322848199999999</v>
      </c>
      <c r="J75" s="382">
        <v>520</v>
      </c>
      <c r="K75" s="383" t="s">
        <v>71</v>
      </c>
      <c r="L75" s="382">
        <v>290</v>
      </c>
      <c r="M75" s="382">
        <v>553</v>
      </c>
      <c r="N75" s="382">
        <v>630</v>
      </c>
      <c r="O75" s="384" t="s">
        <v>71</v>
      </c>
      <c r="P75" s="380">
        <v>10.199999999999999</v>
      </c>
      <c r="Q75" s="384" t="s">
        <v>71</v>
      </c>
      <c r="R75" s="385" t="s">
        <v>335</v>
      </c>
    </row>
    <row r="76" spans="2:18" s="243" customFormat="1" x14ac:dyDescent="0.2">
      <c r="B76" s="370" t="s">
        <v>327</v>
      </c>
      <c r="C76" s="248" t="s">
        <v>90</v>
      </c>
      <c r="D76" s="249" t="s">
        <v>328</v>
      </c>
      <c r="E76" s="249" t="s">
        <v>329</v>
      </c>
      <c r="F76" s="250" t="s">
        <v>126</v>
      </c>
      <c r="G76" s="251">
        <v>5</v>
      </c>
      <c r="H76" s="252">
        <v>6</v>
      </c>
      <c r="I76" s="253">
        <v>19.322848199999999</v>
      </c>
      <c r="J76" s="254">
        <v>520</v>
      </c>
      <c r="K76" s="255" t="s">
        <v>71</v>
      </c>
      <c r="L76" s="254">
        <v>290</v>
      </c>
      <c r="M76" s="254">
        <v>553</v>
      </c>
      <c r="N76" s="254">
        <v>630</v>
      </c>
      <c r="O76" s="256" t="s">
        <v>71</v>
      </c>
      <c r="P76" s="252">
        <v>10.199999999999999</v>
      </c>
      <c r="Q76" s="256" t="s">
        <v>71</v>
      </c>
      <c r="R76" s="371"/>
    </row>
    <row r="77" spans="2:18" s="243" customFormat="1" ht="45" x14ac:dyDescent="0.2">
      <c r="B77" s="375" t="s">
        <v>330</v>
      </c>
      <c r="C77" s="376" t="s">
        <v>331</v>
      </c>
      <c r="D77" s="377" t="s">
        <v>332</v>
      </c>
      <c r="E77" s="377" t="s">
        <v>333</v>
      </c>
      <c r="F77" s="378" t="s">
        <v>126</v>
      </c>
      <c r="G77" s="379">
        <v>5</v>
      </c>
      <c r="H77" s="380">
        <v>6</v>
      </c>
      <c r="I77" s="381">
        <v>19.322848199999999</v>
      </c>
      <c r="J77" s="382">
        <v>690</v>
      </c>
      <c r="K77" s="383" t="s">
        <v>71</v>
      </c>
      <c r="L77" s="382" t="s">
        <v>152</v>
      </c>
      <c r="M77" s="382">
        <v>750</v>
      </c>
      <c r="N77" s="382" t="s">
        <v>152</v>
      </c>
      <c r="O77" s="384" t="s">
        <v>157</v>
      </c>
      <c r="P77" s="380">
        <v>13.9</v>
      </c>
      <c r="Q77" s="384" t="s">
        <v>107</v>
      </c>
      <c r="R77" s="385" t="s">
        <v>334</v>
      </c>
    </row>
    <row r="78" spans="2:18" s="243" customFormat="1" ht="45" x14ac:dyDescent="0.2">
      <c r="B78" s="405" t="s">
        <v>48</v>
      </c>
      <c r="C78" s="406" t="s">
        <v>70</v>
      </c>
      <c r="D78" s="417" t="s">
        <v>70</v>
      </c>
      <c r="E78" s="417" t="s">
        <v>70</v>
      </c>
      <c r="F78" s="408" t="s">
        <v>48</v>
      </c>
      <c r="G78" s="409">
        <v>6</v>
      </c>
      <c r="H78" s="410">
        <v>6.2</v>
      </c>
      <c r="I78" s="411">
        <v>20.3669431</v>
      </c>
      <c r="J78" s="412">
        <v>445</v>
      </c>
      <c r="K78" s="415" t="s">
        <v>107</v>
      </c>
      <c r="L78" s="412" t="s">
        <v>152</v>
      </c>
      <c r="M78" s="412" t="s">
        <v>152</v>
      </c>
      <c r="N78" s="412" t="s">
        <v>152</v>
      </c>
      <c r="O78" s="413" t="s">
        <v>70</v>
      </c>
      <c r="P78" s="410">
        <v>11.7</v>
      </c>
      <c r="Q78" s="413" t="s">
        <v>107</v>
      </c>
      <c r="R78" s="418" t="s">
        <v>372</v>
      </c>
    </row>
    <row r="79" spans="2:18" s="243" customFormat="1" ht="45" x14ac:dyDescent="0.2">
      <c r="B79" s="405" t="s">
        <v>55</v>
      </c>
      <c r="C79" s="406" t="s">
        <v>70</v>
      </c>
      <c r="D79" s="417" t="s">
        <v>70</v>
      </c>
      <c r="E79" s="417" t="s">
        <v>70</v>
      </c>
      <c r="F79" s="408" t="s">
        <v>55</v>
      </c>
      <c r="G79" s="409">
        <v>7</v>
      </c>
      <c r="H79" s="410">
        <v>6</v>
      </c>
      <c r="I79" s="411">
        <v>19.322848199999999</v>
      </c>
      <c r="J79" s="412">
        <v>640</v>
      </c>
      <c r="K79" s="415" t="s">
        <v>107</v>
      </c>
      <c r="L79" s="412" t="s">
        <v>152</v>
      </c>
      <c r="M79" s="412" t="s">
        <v>152</v>
      </c>
      <c r="N79" s="412" t="s">
        <v>152</v>
      </c>
      <c r="O79" s="413" t="s">
        <v>70</v>
      </c>
      <c r="P79" s="410">
        <v>15.4</v>
      </c>
      <c r="Q79" s="413" t="s">
        <v>107</v>
      </c>
      <c r="R79" s="418" t="s">
        <v>372</v>
      </c>
    </row>
    <row r="80" spans="2:18" s="243" customFormat="1" ht="45" x14ac:dyDescent="0.2">
      <c r="B80" s="405" t="s">
        <v>114</v>
      </c>
      <c r="C80" s="406" t="s">
        <v>70</v>
      </c>
      <c r="D80" s="417" t="s">
        <v>70</v>
      </c>
      <c r="E80" s="417" t="s">
        <v>70</v>
      </c>
      <c r="F80" s="408" t="s">
        <v>46</v>
      </c>
      <c r="G80" s="409">
        <v>8</v>
      </c>
      <c r="H80" s="410">
        <v>6.2</v>
      </c>
      <c r="I80" s="411">
        <v>20.3669431</v>
      </c>
      <c r="J80" s="412">
        <v>700</v>
      </c>
      <c r="K80" s="415" t="s">
        <v>107</v>
      </c>
      <c r="L80" s="412" t="s">
        <v>152</v>
      </c>
      <c r="M80" s="412" t="s">
        <v>152</v>
      </c>
      <c r="N80" s="412" t="s">
        <v>152</v>
      </c>
      <c r="O80" s="413" t="s">
        <v>70</v>
      </c>
      <c r="P80" s="410">
        <v>0</v>
      </c>
      <c r="Q80" s="413" t="s">
        <v>107</v>
      </c>
      <c r="R80" s="418" t="s">
        <v>359</v>
      </c>
    </row>
    <row r="81" spans="2:18" s="243" customFormat="1" x14ac:dyDescent="0.2">
      <c r="B81" s="405" t="s">
        <v>116</v>
      </c>
      <c r="C81" s="406" t="s">
        <v>70</v>
      </c>
      <c r="D81" s="417" t="s">
        <v>70</v>
      </c>
      <c r="E81" s="417" t="s">
        <v>70</v>
      </c>
      <c r="F81" s="408" t="s">
        <v>46</v>
      </c>
      <c r="G81" s="409">
        <v>8</v>
      </c>
      <c r="H81" s="410">
        <v>6.2</v>
      </c>
      <c r="I81" s="411">
        <v>20.3669431</v>
      </c>
      <c r="J81" s="412">
        <v>700</v>
      </c>
      <c r="K81" s="415" t="s">
        <v>107</v>
      </c>
      <c r="L81" s="412" t="s">
        <v>152</v>
      </c>
      <c r="M81" s="412" t="s">
        <v>152</v>
      </c>
      <c r="N81" s="412" t="s">
        <v>152</v>
      </c>
      <c r="O81" s="413" t="s">
        <v>70</v>
      </c>
      <c r="P81" s="410">
        <v>0</v>
      </c>
      <c r="Q81" s="413" t="s">
        <v>107</v>
      </c>
      <c r="R81" s="418"/>
    </row>
    <row r="82" spans="2:18" s="243" customFormat="1" ht="45" x14ac:dyDescent="0.2">
      <c r="B82" s="405" t="s">
        <v>113</v>
      </c>
      <c r="C82" s="406" t="s">
        <v>70</v>
      </c>
      <c r="D82" s="417" t="s">
        <v>70</v>
      </c>
      <c r="E82" s="417" t="s">
        <v>70</v>
      </c>
      <c r="F82" s="408" t="s">
        <v>46</v>
      </c>
      <c r="G82" s="409">
        <v>8</v>
      </c>
      <c r="H82" s="410">
        <v>6.2</v>
      </c>
      <c r="I82" s="411">
        <v>20.3669431</v>
      </c>
      <c r="J82" s="412">
        <v>600</v>
      </c>
      <c r="K82" s="415" t="s">
        <v>107</v>
      </c>
      <c r="L82" s="412" t="s">
        <v>152</v>
      </c>
      <c r="M82" s="412" t="s">
        <v>152</v>
      </c>
      <c r="N82" s="412" t="s">
        <v>152</v>
      </c>
      <c r="O82" s="413" t="s">
        <v>70</v>
      </c>
      <c r="P82" s="410">
        <v>0</v>
      </c>
      <c r="Q82" s="413" t="s">
        <v>107</v>
      </c>
      <c r="R82" s="418" t="s">
        <v>360</v>
      </c>
    </row>
    <row r="83" spans="2:18" s="243" customFormat="1" x14ac:dyDescent="0.2">
      <c r="B83" s="405" t="s">
        <v>115</v>
      </c>
      <c r="C83" s="406" t="s">
        <v>70</v>
      </c>
      <c r="D83" s="417" t="s">
        <v>70</v>
      </c>
      <c r="E83" s="417" t="s">
        <v>70</v>
      </c>
      <c r="F83" s="408" t="s">
        <v>46</v>
      </c>
      <c r="G83" s="409">
        <v>8</v>
      </c>
      <c r="H83" s="410">
        <v>6.2</v>
      </c>
      <c r="I83" s="411">
        <v>20.3669431</v>
      </c>
      <c r="J83" s="412">
        <v>600</v>
      </c>
      <c r="K83" s="415" t="s">
        <v>107</v>
      </c>
      <c r="L83" s="412" t="s">
        <v>70</v>
      </c>
      <c r="M83" s="412" t="s">
        <v>70</v>
      </c>
      <c r="N83" s="412" t="s">
        <v>70</v>
      </c>
      <c r="O83" s="413" t="s">
        <v>70</v>
      </c>
      <c r="P83" s="410">
        <v>0</v>
      </c>
      <c r="Q83" s="413" t="s">
        <v>107</v>
      </c>
      <c r="R83" s="419"/>
    </row>
    <row r="84" spans="2:18" s="243" customFormat="1" x14ac:dyDescent="0.2">
      <c r="G84" s="258"/>
      <c r="H84" s="258"/>
      <c r="I84" s="259"/>
      <c r="P84" s="260"/>
      <c r="Q84" s="258"/>
    </row>
    <row r="85" spans="2:18" s="243" customFormat="1" x14ac:dyDescent="0.2">
      <c r="B85" s="420" t="s">
        <v>150</v>
      </c>
      <c r="C85" s="421"/>
      <c r="D85" s="421"/>
      <c r="E85" s="421"/>
      <c r="F85" s="421"/>
      <c r="G85" s="422"/>
      <c r="H85" s="422"/>
      <c r="I85" s="423"/>
      <c r="J85" s="421"/>
      <c r="K85" s="421"/>
      <c r="L85" s="421"/>
      <c r="M85" s="421"/>
      <c r="N85" s="421"/>
      <c r="O85" s="421"/>
      <c r="P85" s="424"/>
      <c r="Q85" s="422"/>
      <c r="R85" s="425"/>
    </row>
    <row r="86" spans="2:18" s="243" customFormat="1" x14ac:dyDescent="0.2">
      <c r="B86" s="426" t="s">
        <v>146</v>
      </c>
      <c r="C86" s="250"/>
      <c r="D86" s="250"/>
      <c r="E86" s="250"/>
      <c r="F86" s="250"/>
      <c r="G86" s="261"/>
      <c r="H86" s="261"/>
      <c r="I86" s="262"/>
      <c r="J86" s="250"/>
      <c r="K86" s="250"/>
      <c r="L86" s="250"/>
      <c r="M86" s="250"/>
      <c r="N86" s="250"/>
      <c r="O86" s="250"/>
      <c r="P86" s="263"/>
      <c r="Q86" s="261"/>
      <c r="R86" s="427"/>
    </row>
    <row r="87" spans="2:18" s="243" customFormat="1" x14ac:dyDescent="0.2">
      <c r="B87" s="426" t="s">
        <v>147</v>
      </c>
      <c r="C87" s="250"/>
      <c r="D87" s="250"/>
      <c r="E87" s="250"/>
      <c r="F87" s="250"/>
      <c r="G87" s="261"/>
      <c r="H87" s="261"/>
      <c r="I87" s="262"/>
      <c r="J87" s="250"/>
      <c r="K87" s="250"/>
      <c r="L87" s="250"/>
      <c r="M87" s="250"/>
      <c r="N87" s="250"/>
      <c r="O87" s="250"/>
      <c r="P87" s="263"/>
      <c r="Q87" s="261"/>
      <c r="R87" s="427"/>
    </row>
    <row r="88" spans="2:18" s="243" customFormat="1" x14ac:dyDescent="0.2">
      <c r="B88" s="426" t="s">
        <v>148</v>
      </c>
      <c r="C88" s="250"/>
      <c r="D88" s="250"/>
      <c r="E88" s="250"/>
      <c r="F88" s="250"/>
      <c r="G88" s="261"/>
      <c r="H88" s="261"/>
      <c r="I88" s="262"/>
      <c r="J88" s="250"/>
      <c r="K88" s="250"/>
      <c r="L88" s="250"/>
      <c r="M88" s="250"/>
      <c r="N88" s="250"/>
      <c r="O88" s="250"/>
      <c r="P88" s="263"/>
      <c r="Q88" s="261"/>
      <c r="R88" s="427"/>
    </row>
    <row r="89" spans="2:18" s="243" customFormat="1" x14ac:dyDescent="0.2">
      <c r="B89" s="426" t="s">
        <v>149</v>
      </c>
      <c r="C89" s="250"/>
      <c r="D89" s="250"/>
      <c r="E89" s="250"/>
      <c r="F89" s="250"/>
      <c r="G89" s="261"/>
      <c r="H89" s="261"/>
      <c r="I89" s="262"/>
      <c r="J89" s="250"/>
      <c r="K89" s="250"/>
      <c r="L89" s="250"/>
      <c r="M89" s="250"/>
      <c r="N89" s="250"/>
      <c r="O89" s="250"/>
      <c r="P89" s="263"/>
      <c r="Q89" s="261"/>
      <c r="R89" s="427"/>
    </row>
    <row r="90" spans="2:18" s="243" customFormat="1" x14ac:dyDescent="0.2">
      <c r="B90" s="428" t="s">
        <v>384</v>
      </c>
      <c r="C90" s="429"/>
      <c r="D90" s="429"/>
      <c r="E90" s="429"/>
      <c r="F90" s="429"/>
      <c r="G90" s="430"/>
      <c r="H90" s="430"/>
      <c r="I90" s="431"/>
      <c r="J90" s="429"/>
      <c r="K90" s="429"/>
      <c r="L90" s="429"/>
      <c r="M90" s="429"/>
      <c r="N90" s="429"/>
      <c r="O90" s="429"/>
      <c r="P90" s="432"/>
      <c r="Q90" s="430"/>
      <c r="R90" s="433"/>
    </row>
    <row r="91" spans="2:18" s="243" customFormat="1" x14ac:dyDescent="0.2">
      <c r="G91" s="258"/>
      <c r="H91" s="258"/>
      <c r="I91" s="259"/>
      <c r="P91" s="260"/>
      <c r="Q91" s="258"/>
    </row>
    <row r="92" spans="2:18" s="243" customFormat="1" x14ac:dyDescent="0.2">
      <c r="G92" s="258"/>
      <c r="H92" s="258"/>
      <c r="I92" s="259"/>
      <c r="P92" s="260"/>
      <c r="Q92" s="258"/>
    </row>
  </sheetData>
  <sheetProtection password="C121" sheet="1" objects="1" scenarios="1"/>
  <customSheetViews>
    <customSheetView guid="{C0AD46E2-DB76-44EC-B12C-0C3D37E94F1D}" fitToPage="1">
      <selection activeCell="H12" sqref="H12"/>
      <rowBreaks count="1" manualBreakCount="1">
        <brk id="48" max="16383" man="1"/>
      </rowBreaks>
      <colBreaks count="2" manualBreakCount="2">
        <brk id="16" max="1048575" man="1"/>
        <brk id="18" max="1048575" man="1"/>
      </colBreaks>
      <pageMargins left="0.78740157499999996" right="0.78740157499999996" top="0.984251969" bottom="0.984251969" header="0.4921259845" footer="0.4921259845"/>
      <pageSetup paperSize="8" scale="39" orientation="landscape" r:id="rId1"/>
      <headerFooter alignWithMargins="0"/>
    </customSheetView>
  </customSheetViews>
  <mergeCells count="18">
    <mergeCell ref="T26:W26"/>
    <mergeCell ref="T27:W27"/>
    <mergeCell ref="V4:V6"/>
    <mergeCell ref="W4:W6"/>
    <mergeCell ref="P4:Q4"/>
    <mergeCell ref="J4:K4"/>
    <mergeCell ref="L4:O4"/>
    <mergeCell ref="R4:R6"/>
    <mergeCell ref="T4:T6"/>
    <mergeCell ref="U4:U6"/>
    <mergeCell ref="G4:G5"/>
    <mergeCell ref="H4:H5"/>
    <mergeCell ref="I4:I5"/>
    <mergeCell ref="B4:B6"/>
    <mergeCell ref="C4:C6"/>
    <mergeCell ref="D4:D6"/>
    <mergeCell ref="E4:E6"/>
    <mergeCell ref="F4:F6"/>
  </mergeCells>
  <phoneticPr fontId="0" type="noConversion"/>
  <pageMargins left="0.78740157480314965" right="0.78740157480314965" top="0.98425196850393704" bottom="0.98425196850393704" header="0.51181102362204722" footer="0.51181102362204722"/>
  <pageSetup paperSize="8" scale="37" orientation="landscape" r:id="rId2"/>
  <headerFooter alignWithMargins="0"/>
  <rowBreaks count="1" manualBreakCount="1">
    <brk id="49" max="16383" man="1"/>
  </rowBreaks>
  <colBreaks count="2" manualBreakCount="2">
    <brk id="16" max="1048575" man="1"/>
    <brk id="18" max="1048575" man="1"/>
  </colBreaks>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68"/>
  <sheetViews>
    <sheetView showGridLines="0" workbookViewId="0">
      <selection activeCell="D74" sqref="D74"/>
    </sheetView>
  </sheetViews>
  <sheetFormatPr baseColWidth="10" defaultRowHeight="15" x14ac:dyDescent="0.25"/>
  <cols>
    <col min="1" max="16384" width="11.42578125" style="443"/>
  </cols>
  <sheetData>
    <row r="2" spans="1:17" x14ac:dyDescent="0.25">
      <c r="A2" s="28"/>
      <c r="B2" s="124"/>
      <c r="C2" s="28"/>
      <c r="D2" s="28"/>
      <c r="E2" s="28"/>
      <c r="F2" s="28"/>
      <c r="G2" s="444"/>
      <c r="H2" s="444"/>
      <c r="I2" s="444"/>
      <c r="J2" s="445"/>
      <c r="K2" s="444"/>
      <c r="L2" s="445"/>
      <c r="M2" s="444"/>
      <c r="N2" s="445"/>
      <c r="O2" s="444"/>
      <c r="P2" s="446"/>
      <c r="Q2" s="444"/>
    </row>
    <row r="3" spans="1:17" ht="21" x14ac:dyDescent="0.35">
      <c r="A3" s="28"/>
      <c r="B3" s="461" t="s">
        <v>446</v>
      </c>
      <c r="C3" s="462"/>
      <c r="D3" s="463"/>
      <c r="E3" s="462"/>
      <c r="F3" s="462"/>
      <c r="G3" s="462"/>
      <c r="H3" s="462"/>
      <c r="I3" s="462"/>
      <c r="J3" s="464"/>
      <c r="K3" s="462"/>
      <c r="L3" s="464"/>
      <c r="M3" s="462"/>
      <c r="N3" s="464"/>
      <c r="O3" s="462"/>
      <c r="P3" s="446"/>
      <c r="Q3" s="65"/>
    </row>
    <row r="4" spans="1:17" ht="21" x14ac:dyDescent="0.35">
      <c r="A4" s="28"/>
      <c r="B4" s="453"/>
      <c r="C4" s="28"/>
      <c r="D4" s="447"/>
      <c r="E4" s="28"/>
      <c r="F4" s="28"/>
      <c r="G4" s="28"/>
      <c r="H4" s="28"/>
      <c r="I4" s="28"/>
      <c r="J4" s="446"/>
      <c r="K4" s="28"/>
      <c r="L4" s="446"/>
      <c r="M4" s="28"/>
      <c r="N4" s="446"/>
      <c r="O4" s="28"/>
      <c r="P4" s="446"/>
      <c r="Q4" s="28"/>
    </row>
    <row r="5" spans="1:17" ht="15.75" x14ac:dyDescent="0.25">
      <c r="A5" s="28"/>
      <c r="B5" s="455" t="s">
        <v>442</v>
      </c>
      <c r="C5" s="363"/>
      <c r="D5" s="363"/>
      <c r="E5" s="456"/>
      <c r="F5" s="456"/>
      <c r="G5" s="456"/>
      <c r="H5" s="457"/>
      <c r="I5" s="458"/>
      <c r="J5" s="459"/>
      <c r="K5" s="458"/>
      <c r="L5" s="459"/>
      <c r="M5" s="458"/>
      <c r="N5" s="459"/>
      <c r="O5" s="460"/>
      <c r="P5" s="446"/>
      <c r="Q5" s="96"/>
    </row>
    <row r="6" spans="1:17" x14ac:dyDescent="0.25">
      <c r="A6" s="28"/>
      <c r="C6" s="28"/>
      <c r="D6" s="28"/>
      <c r="E6" s="450"/>
      <c r="F6" s="450"/>
      <c r="G6" s="450"/>
      <c r="H6" s="448"/>
      <c r="I6" s="451"/>
      <c r="J6" s="452"/>
      <c r="K6" s="451"/>
      <c r="L6" s="452"/>
      <c r="M6" s="451"/>
      <c r="N6" s="452"/>
      <c r="O6" s="96"/>
      <c r="P6" s="446"/>
      <c r="Q6" s="96"/>
    </row>
    <row r="7" spans="1:17" x14ac:dyDescent="0.25">
      <c r="A7" s="28"/>
      <c r="B7" s="509" t="s">
        <v>444</v>
      </c>
      <c r="C7" s="510"/>
      <c r="D7" s="510"/>
      <c r="E7" s="510"/>
      <c r="F7" s="510"/>
      <c r="G7" s="510"/>
      <c r="H7" s="510"/>
      <c r="I7" s="510"/>
      <c r="J7" s="510"/>
      <c r="K7" s="510"/>
      <c r="L7" s="510"/>
      <c r="M7" s="510"/>
      <c r="N7" s="510"/>
      <c r="O7" s="511"/>
      <c r="P7" s="446"/>
      <c r="Q7" s="448"/>
    </row>
    <row r="8" spans="1:17" x14ac:dyDescent="0.25">
      <c r="A8" s="28"/>
      <c r="B8" s="512"/>
      <c r="C8" s="513"/>
      <c r="D8" s="513"/>
      <c r="E8" s="513"/>
      <c r="F8" s="513"/>
      <c r="G8" s="513"/>
      <c r="H8" s="513"/>
      <c r="I8" s="513"/>
      <c r="J8" s="513"/>
      <c r="K8" s="513"/>
      <c r="L8" s="513"/>
      <c r="M8" s="513"/>
      <c r="N8" s="513"/>
      <c r="O8" s="514"/>
      <c r="P8" s="446"/>
      <c r="Q8" s="448"/>
    </row>
    <row r="9" spans="1:17" x14ac:dyDescent="0.25">
      <c r="A9" s="28"/>
      <c r="B9" s="512"/>
      <c r="C9" s="513"/>
      <c r="D9" s="513"/>
      <c r="E9" s="513"/>
      <c r="F9" s="513"/>
      <c r="G9" s="513"/>
      <c r="H9" s="513"/>
      <c r="I9" s="513"/>
      <c r="J9" s="513"/>
      <c r="K9" s="513"/>
      <c r="L9" s="513"/>
      <c r="M9" s="513"/>
      <c r="N9" s="513"/>
      <c r="O9" s="514"/>
      <c r="P9" s="446"/>
      <c r="Q9" s="448"/>
    </row>
    <row r="10" spans="1:17" x14ac:dyDescent="0.25">
      <c r="A10" s="28"/>
      <c r="B10" s="512"/>
      <c r="C10" s="513"/>
      <c r="D10" s="513"/>
      <c r="E10" s="513"/>
      <c r="F10" s="513"/>
      <c r="G10" s="513"/>
      <c r="H10" s="513"/>
      <c r="I10" s="513"/>
      <c r="J10" s="513"/>
      <c r="K10" s="513"/>
      <c r="L10" s="513"/>
      <c r="M10" s="513"/>
      <c r="N10" s="513"/>
      <c r="O10" s="514"/>
      <c r="P10" s="446"/>
      <c r="Q10" s="444"/>
    </row>
    <row r="11" spans="1:17" x14ac:dyDescent="0.25">
      <c r="A11" s="28"/>
      <c r="B11" s="512"/>
      <c r="C11" s="513"/>
      <c r="D11" s="513"/>
      <c r="E11" s="513"/>
      <c r="F11" s="513"/>
      <c r="G11" s="513"/>
      <c r="H11" s="513"/>
      <c r="I11" s="513"/>
      <c r="J11" s="513"/>
      <c r="K11" s="513"/>
      <c r="L11" s="513"/>
      <c r="M11" s="513"/>
      <c r="N11" s="513"/>
      <c r="O11" s="514"/>
      <c r="P11" s="446"/>
      <c r="Q11" s="444"/>
    </row>
    <row r="12" spans="1:17" x14ac:dyDescent="0.25">
      <c r="A12" s="28"/>
      <c r="B12" s="512"/>
      <c r="C12" s="513"/>
      <c r="D12" s="513"/>
      <c r="E12" s="513"/>
      <c r="F12" s="513"/>
      <c r="G12" s="513"/>
      <c r="H12" s="513"/>
      <c r="I12" s="513"/>
      <c r="J12" s="513"/>
      <c r="K12" s="513"/>
      <c r="L12" s="513"/>
      <c r="M12" s="513"/>
      <c r="N12" s="513"/>
      <c r="O12" s="514"/>
      <c r="P12" s="446"/>
      <c r="Q12" s="184"/>
    </row>
    <row r="13" spans="1:17" x14ac:dyDescent="0.25">
      <c r="A13" s="28"/>
      <c r="B13" s="512"/>
      <c r="C13" s="513"/>
      <c r="D13" s="513"/>
      <c r="E13" s="513"/>
      <c r="F13" s="513"/>
      <c r="G13" s="513"/>
      <c r="H13" s="513"/>
      <c r="I13" s="513"/>
      <c r="J13" s="513"/>
      <c r="K13" s="513"/>
      <c r="L13" s="513"/>
      <c r="M13" s="513"/>
      <c r="N13" s="513"/>
      <c r="O13" s="514"/>
      <c r="P13" s="446"/>
      <c r="Q13" s="184"/>
    </row>
    <row r="14" spans="1:17" x14ac:dyDescent="0.25">
      <c r="A14" s="28"/>
      <c r="B14" s="512"/>
      <c r="C14" s="513"/>
      <c r="D14" s="513"/>
      <c r="E14" s="513"/>
      <c r="F14" s="513"/>
      <c r="G14" s="513"/>
      <c r="H14" s="513"/>
      <c r="I14" s="513"/>
      <c r="J14" s="513"/>
      <c r="K14" s="513"/>
      <c r="L14" s="513"/>
      <c r="M14" s="513"/>
      <c r="N14" s="513"/>
      <c r="O14" s="514"/>
      <c r="P14" s="446"/>
      <c r="Q14" s="449"/>
    </row>
    <row r="15" spans="1:17" x14ac:dyDescent="0.25">
      <c r="A15" s="28"/>
      <c r="B15" s="512"/>
      <c r="C15" s="513"/>
      <c r="D15" s="513"/>
      <c r="E15" s="513"/>
      <c r="F15" s="513"/>
      <c r="G15" s="513"/>
      <c r="H15" s="513"/>
      <c r="I15" s="513"/>
      <c r="J15" s="513"/>
      <c r="K15" s="513"/>
      <c r="L15" s="513"/>
      <c r="M15" s="513"/>
      <c r="N15" s="513"/>
      <c r="O15" s="514"/>
      <c r="P15" s="446"/>
      <c r="Q15" s="444"/>
    </row>
    <row r="16" spans="1:17" x14ac:dyDescent="0.25">
      <c r="A16" s="28"/>
      <c r="B16" s="512"/>
      <c r="C16" s="513"/>
      <c r="D16" s="513"/>
      <c r="E16" s="513"/>
      <c r="F16" s="513"/>
      <c r="G16" s="513"/>
      <c r="H16" s="513"/>
      <c r="I16" s="513"/>
      <c r="J16" s="513"/>
      <c r="K16" s="513"/>
      <c r="L16" s="513"/>
      <c r="M16" s="513"/>
      <c r="N16" s="513"/>
      <c r="O16" s="514"/>
      <c r="P16" s="446"/>
      <c r="Q16" s="184"/>
    </row>
    <row r="17" spans="1:17" x14ac:dyDescent="0.25">
      <c r="A17" s="28"/>
      <c r="B17" s="512"/>
      <c r="C17" s="513"/>
      <c r="D17" s="513"/>
      <c r="E17" s="513"/>
      <c r="F17" s="513"/>
      <c r="G17" s="513"/>
      <c r="H17" s="513"/>
      <c r="I17" s="513"/>
      <c r="J17" s="513"/>
      <c r="K17" s="513"/>
      <c r="L17" s="513"/>
      <c r="M17" s="513"/>
      <c r="N17" s="513"/>
      <c r="O17" s="514"/>
      <c r="P17" s="446"/>
      <c r="Q17" s="184"/>
    </row>
    <row r="18" spans="1:17" x14ac:dyDescent="0.25">
      <c r="A18" s="28"/>
      <c r="B18" s="512"/>
      <c r="C18" s="513"/>
      <c r="D18" s="513"/>
      <c r="E18" s="513"/>
      <c r="F18" s="513"/>
      <c r="G18" s="513"/>
      <c r="H18" s="513"/>
      <c r="I18" s="513"/>
      <c r="J18" s="513"/>
      <c r="K18" s="513"/>
      <c r="L18" s="513"/>
      <c r="M18" s="513"/>
      <c r="N18" s="513"/>
      <c r="O18" s="514"/>
      <c r="P18" s="446"/>
      <c r="Q18" s="28"/>
    </row>
    <row r="19" spans="1:17" x14ac:dyDescent="0.25">
      <c r="A19" s="28"/>
      <c r="B19" s="512"/>
      <c r="C19" s="513"/>
      <c r="D19" s="513"/>
      <c r="E19" s="513"/>
      <c r="F19" s="513"/>
      <c r="G19" s="513"/>
      <c r="H19" s="513"/>
      <c r="I19" s="513"/>
      <c r="J19" s="513"/>
      <c r="K19" s="513"/>
      <c r="L19" s="513"/>
      <c r="M19" s="513"/>
      <c r="N19" s="513"/>
      <c r="O19" s="514"/>
      <c r="P19" s="446"/>
      <c r="Q19" s="184"/>
    </row>
    <row r="20" spans="1:17" x14ac:dyDescent="0.25">
      <c r="A20" s="28"/>
      <c r="B20" s="512"/>
      <c r="C20" s="513"/>
      <c r="D20" s="513"/>
      <c r="E20" s="513"/>
      <c r="F20" s="513"/>
      <c r="G20" s="513"/>
      <c r="H20" s="513"/>
      <c r="I20" s="513"/>
      <c r="J20" s="513"/>
      <c r="K20" s="513"/>
      <c r="L20" s="513"/>
      <c r="M20" s="513"/>
      <c r="N20" s="513"/>
      <c r="O20" s="514"/>
      <c r="P20" s="446"/>
      <c r="Q20" s="184"/>
    </row>
    <row r="21" spans="1:17" x14ac:dyDescent="0.25">
      <c r="A21" s="28"/>
      <c r="B21" s="512"/>
      <c r="C21" s="513"/>
      <c r="D21" s="513"/>
      <c r="E21" s="513"/>
      <c r="F21" s="513"/>
      <c r="G21" s="513"/>
      <c r="H21" s="513"/>
      <c r="I21" s="513"/>
      <c r="J21" s="513"/>
      <c r="K21" s="513"/>
      <c r="L21" s="513"/>
      <c r="M21" s="513"/>
      <c r="N21" s="513"/>
      <c r="O21" s="514"/>
      <c r="P21" s="446"/>
      <c r="Q21" s="184"/>
    </row>
    <row r="22" spans="1:17" x14ac:dyDescent="0.25">
      <c r="A22" s="28"/>
      <c r="B22" s="512"/>
      <c r="C22" s="513"/>
      <c r="D22" s="513"/>
      <c r="E22" s="513"/>
      <c r="F22" s="513"/>
      <c r="G22" s="513"/>
      <c r="H22" s="513"/>
      <c r="I22" s="513"/>
      <c r="J22" s="513"/>
      <c r="K22" s="513"/>
      <c r="L22" s="513"/>
      <c r="M22" s="513"/>
      <c r="N22" s="513"/>
      <c r="O22" s="514"/>
      <c r="P22" s="446"/>
      <c r="Q22" s="184"/>
    </row>
    <row r="23" spans="1:17" x14ac:dyDescent="0.25">
      <c r="A23" s="28"/>
      <c r="B23" s="512"/>
      <c r="C23" s="513"/>
      <c r="D23" s="513"/>
      <c r="E23" s="513"/>
      <c r="F23" s="513"/>
      <c r="G23" s="513"/>
      <c r="H23" s="513"/>
      <c r="I23" s="513"/>
      <c r="J23" s="513"/>
      <c r="K23" s="513"/>
      <c r="L23" s="513"/>
      <c r="M23" s="513"/>
      <c r="N23" s="513"/>
      <c r="O23" s="514"/>
      <c r="P23" s="446"/>
      <c r="Q23" s="184"/>
    </row>
    <row r="24" spans="1:17" x14ac:dyDescent="0.25">
      <c r="A24" s="28"/>
      <c r="B24" s="512"/>
      <c r="C24" s="513"/>
      <c r="D24" s="513"/>
      <c r="E24" s="513"/>
      <c r="F24" s="513"/>
      <c r="G24" s="513"/>
      <c r="H24" s="513"/>
      <c r="I24" s="513"/>
      <c r="J24" s="513"/>
      <c r="K24" s="513"/>
      <c r="L24" s="513"/>
      <c r="M24" s="513"/>
      <c r="N24" s="513"/>
      <c r="O24" s="514"/>
      <c r="P24" s="446"/>
      <c r="Q24" s="184"/>
    </row>
    <row r="25" spans="1:17" x14ac:dyDescent="0.25">
      <c r="A25" s="28"/>
      <c r="B25" s="512"/>
      <c r="C25" s="513"/>
      <c r="D25" s="513"/>
      <c r="E25" s="513"/>
      <c r="F25" s="513"/>
      <c r="G25" s="513"/>
      <c r="H25" s="513"/>
      <c r="I25" s="513"/>
      <c r="J25" s="513"/>
      <c r="K25" s="513"/>
      <c r="L25" s="513"/>
      <c r="M25" s="513"/>
      <c r="N25" s="513"/>
      <c r="O25" s="514"/>
      <c r="P25" s="446"/>
      <c r="Q25" s="184"/>
    </row>
    <row r="26" spans="1:17" x14ac:dyDescent="0.25">
      <c r="A26" s="28"/>
      <c r="B26" s="512"/>
      <c r="C26" s="513"/>
      <c r="D26" s="513"/>
      <c r="E26" s="513"/>
      <c r="F26" s="513"/>
      <c r="G26" s="513"/>
      <c r="H26" s="513"/>
      <c r="I26" s="513"/>
      <c r="J26" s="513"/>
      <c r="K26" s="513"/>
      <c r="L26" s="513"/>
      <c r="M26" s="513"/>
      <c r="N26" s="513"/>
      <c r="O26" s="514"/>
      <c r="P26" s="446"/>
      <c r="Q26" s="184"/>
    </row>
    <row r="27" spans="1:17" x14ac:dyDescent="0.25">
      <c r="A27" s="28"/>
      <c r="B27" s="512"/>
      <c r="C27" s="513"/>
      <c r="D27" s="513"/>
      <c r="E27" s="513"/>
      <c r="F27" s="513"/>
      <c r="G27" s="513"/>
      <c r="H27" s="513"/>
      <c r="I27" s="513"/>
      <c r="J27" s="513"/>
      <c r="K27" s="513"/>
      <c r="L27" s="513"/>
      <c r="M27" s="513"/>
      <c r="N27" s="513"/>
      <c r="O27" s="514"/>
      <c r="P27" s="446"/>
      <c r="Q27" s="28"/>
    </row>
    <row r="28" spans="1:17" x14ac:dyDescent="0.25">
      <c r="A28" s="28"/>
      <c r="B28" s="512"/>
      <c r="C28" s="513"/>
      <c r="D28" s="513"/>
      <c r="E28" s="513"/>
      <c r="F28" s="513"/>
      <c r="G28" s="513"/>
      <c r="H28" s="513"/>
      <c r="I28" s="513"/>
      <c r="J28" s="513"/>
      <c r="K28" s="513"/>
      <c r="L28" s="513"/>
      <c r="M28" s="513"/>
      <c r="N28" s="513"/>
      <c r="O28" s="514"/>
      <c r="P28" s="446"/>
      <c r="Q28" s="28"/>
    </row>
    <row r="29" spans="1:17" x14ac:dyDescent="0.25">
      <c r="A29" s="28"/>
      <c r="B29" s="512"/>
      <c r="C29" s="513"/>
      <c r="D29" s="513"/>
      <c r="E29" s="513"/>
      <c r="F29" s="513"/>
      <c r="G29" s="513"/>
      <c r="H29" s="513"/>
      <c r="I29" s="513"/>
      <c r="J29" s="513"/>
      <c r="K29" s="513"/>
      <c r="L29" s="513"/>
      <c r="M29" s="513"/>
      <c r="N29" s="513"/>
      <c r="O29" s="514"/>
      <c r="P29" s="446"/>
      <c r="Q29" s="28"/>
    </row>
    <row r="30" spans="1:17" x14ac:dyDescent="0.25">
      <c r="A30" s="28"/>
      <c r="B30" s="512"/>
      <c r="C30" s="513"/>
      <c r="D30" s="513"/>
      <c r="E30" s="513"/>
      <c r="F30" s="513"/>
      <c r="G30" s="513"/>
      <c r="H30" s="513"/>
      <c r="I30" s="513"/>
      <c r="J30" s="513"/>
      <c r="K30" s="513"/>
      <c r="L30" s="513"/>
      <c r="M30" s="513"/>
      <c r="N30" s="513"/>
      <c r="O30" s="514"/>
      <c r="P30" s="446"/>
      <c r="Q30" s="28"/>
    </row>
    <row r="31" spans="1:17" x14ac:dyDescent="0.25">
      <c r="A31" s="28"/>
      <c r="B31" s="515"/>
      <c r="C31" s="516"/>
      <c r="D31" s="516"/>
      <c r="E31" s="516"/>
      <c r="F31" s="516"/>
      <c r="G31" s="516"/>
      <c r="H31" s="516"/>
      <c r="I31" s="516"/>
      <c r="J31" s="516"/>
      <c r="K31" s="516"/>
      <c r="L31" s="516"/>
      <c r="M31" s="516"/>
      <c r="N31" s="516"/>
      <c r="O31" s="517"/>
      <c r="P31" s="446"/>
      <c r="Q31" s="28"/>
    </row>
    <row r="32" spans="1:17" x14ac:dyDescent="0.25">
      <c r="A32" s="28"/>
      <c r="B32" s="454"/>
      <c r="C32" s="454"/>
      <c r="D32" s="454"/>
      <c r="E32" s="454"/>
      <c r="F32" s="454"/>
      <c r="G32" s="454"/>
      <c r="H32" s="454"/>
      <c r="I32" s="454"/>
      <c r="J32" s="454"/>
      <c r="K32" s="454"/>
      <c r="L32" s="454"/>
      <c r="M32" s="454"/>
      <c r="N32" s="454"/>
      <c r="O32" s="454"/>
      <c r="P32" s="446"/>
      <c r="Q32" s="28"/>
    </row>
    <row r="33" spans="1:17" ht="15.75" x14ac:dyDescent="0.25">
      <c r="A33" s="28"/>
      <c r="B33" s="455" t="s">
        <v>443</v>
      </c>
      <c r="C33" s="363"/>
      <c r="D33" s="363"/>
      <c r="E33" s="456"/>
      <c r="F33" s="456"/>
      <c r="G33" s="456"/>
      <c r="H33" s="457"/>
      <c r="I33" s="458"/>
      <c r="J33" s="459"/>
      <c r="K33" s="458"/>
      <c r="L33" s="459"/>
      <c r="M33" s="458"/>
      <c r="N33" s="459"/>
      <c r="O33" s="460"/>
      <c r="P33" s="446"/>
      <c r="Q33" s="96"/>
    </row>
    <row r="34" spans="1:17" x14ac:dyDescent="0.25">
      <c r="A34" s="28"/>
      <c r="B34" s="454"/>
      <c r="C34" s="454"/>
      <c r="D34" s="454"/>
      <c r="E34" s="454"/>
      <c r="F34" s="454"/>
      <c r="G34" s="454"/>
      <c r="H34" s="454"/>
      <c r="I34" s="454"/>
      <c r="J34" s="454"/>
      <c r="K34" s="454"/>
      <c r="L34" s="454"/>
      <c r="M34" s="454"/>
      <c r="N34" s="454"/>
      <c r="O34" s="454"/>
      <c r="P34" s="446"/>
      <c r="Q34" s="28"/>
    </row>
    <row r="35" spans="1:17" x14ac:dyDescent="0.25">
      <c r="A35" s="28"/>
      <c r="B35" s="509" t="s">
        <v>445</v>
      </c>
      <c r="C35" s="510"/>
      <c r="D35" s="510"/>
      <c r="E35" s="510"/>
      <c r="F35" s="510"/>
      <c r="G35" s="510"/>
      <c r="H35" s="510"/>
      <c r="I35" s="510"/>
      <c r="J35" s="510"/>
      <c r="K35" s="510"/>
      <c r="L35" s="510"/>
      <c r="M35" s="510"/>
      <c r="N35" s="510"/>
      <c r="O35" s="511"/>
      <c r="P35" s="446"/>
      <c r="Q35" s="28"/>
    </row>
    <row r="36" spans="1:17" x14ac:dyDescent="0.25">
      <c r="A36" s="28"/>
      <c r="B36" s="512"/>
      <c r="C36" s="513"/>
      <c r="D36" s="513"/>
      <c r="E36" s="513"/>
      <c r="F36" s="513"/>
      <c r="G36" s="513"/>
      <c r="H36" s="513"/>
      <c r="I36" s="513"/>
      <c r="J36" s="513"/>
      <c r="K36" s="513"/>
      <c r="L36" s="513"/>
      <c r="M36" s="513"/>
      <c r="N36" s="513"/>
      <c r="O36" s="514"/>
      <c r="P36" s="446"/>
      <c r="Q36" s="28"/>
    </row>
    <row r="37" spans="1:17" x14ac:dyDescent="0.25">
      <c r="A37" s="28"/>
      <c r="B37" s="512"/>
      <c r="C37" s="513"/>
      <c r="D37" s="513"/>
      <c r="E37" s="513"/>
      <c r="F37" s="513"/>
      <c r="G37" s="513"/>
      <c r="H37" s="513"/>
      <c r="I37" s="513"/>
      <c r="J37" s="513"/>
      <c r="K37" s="513"/>
      <c r="L37" s="513"/>
      <c r="M37" s="513"/>
      <c r="N37" s="513"/>
      <c r="O37" s="514"/>
      <c r="P37" s="446"/>
      <c r="Q37" s="28"/>
    </row>
    <row r="38" spans="1:17" x14ac:dyDescent="0.25">
      <c r="A38" s="28"/>
      <c r="B38" s="512"/>
      <c r="C38" s="513"/>
      <c r="D38" s="513"/>
      <c r="E38" s="513"/>
      <c r="F38" s="513"/>
      <c r="G38" s="513"/>
      <c r="H38" s="513"/>
      <c r="I38" s="513"/>
      <c r="J38" s="513"/>
      <c r="K38" s="513"/>
      <c r="L38" s="513"/>
      <c r="M38" s="513"/>
      <c r="N38" s="513"/>
      <c r="O38" s="514"/>
      <c r="P38" s="446"/>
      <c r="Q38" s="28"/>
    </row>
    <row r="39" spans="1:17" x14ac:dyDescent="0.25">
      <c r="A39" s="28"/>
      <c r="B39" s="512"/>
      <c r="C39" s="513"/>
      <c r="D39" s="513"/>
      <c r="E39" s="513"/>
      <c r="F39" s="513"/>
      <c r="G39" s="513"/>
      <c r="H39" s="513"/>
      <c r="I39" s="513"/>
      <c r="J39" s="513"/>
      <c r="K39" s="513"/>
      <c r="L39" s="513"/>
      <c r="M39" s="513"/>
      <c r="N39" s="513"/>
      <c r="O39" s="514"/>
      <c r="P39" s="446"/>
      <c r="Q39" s="28"/>
    </row>
    <row r="40" spans="1:17" x14ac:dyDescent="0.25">
      <c r="A40" s="28"/>
      <c r="B40" s="512"/>
      <c r="C40" s="513"/>
      <c r="D40" s="513"/>
      <c r="E40" s="513"/>
      <c r="F40" s="513"/>
      <c r="G40" s="513"/>
      <c r="H40" s="513"/>
      <c r="I40" s="513"/>
      <c r="J40" s="513"/>
      <c r="K40" s="513"/>
      <c r="L40" s="513"/>
      <c r="M40" s="513"/>
      <c r="N40" s="513"/>
      <c r="O40" s="514"/>
      <c r="P40" s="446"/>
      <c r="Q40" s="28"/>
    </row>
    <row r="41" spans="1:17" x14ac:dyDescent="0.25">
      <c r="A41" s="28"/>
      <c r="B41" s="512"/>
      <c r="C41" s="513"/>
      <c r="D41" s="513"/>
      <c r="E41" s="513"/>
      <c r="F41" s="513"/>
      <c r="G41" s="513"/>
      <c r="H41" s="513"/>
      <c r="I41" s="513"/>
      <c r="J41" s="513"/>
      <c r="K41" s="513"/>
      <c r="L41" s="513"/>
      <c r="M41" s="513"/>
      <c r="N41" s="513"/>
      <c r="O41" s="514"/>
      <c r="P41" s="446"/>
      <c r="Q41" s="28"/>
    </row>
    <row r="42" spans="1:17" x14ac:dyDescent="0.25">
      <c r="A42" s="28"/>
      <c r="B42" s="512"/>
      <c r="C42" s="513"/>
      <c r="D42" s="513"/>
      <c r="E42" s="513"/>
      <c r="F42" s="513"/>
      <c r="G42" s="513"/>
      <c r="H42" s="513"/>
      <c r="I42" s="513"/>
      <c r="J42" s="513"/>
      <c r="K42" s="513"/>
      <c r="L42" s="513"/>
      <c r="M42" s="513"/>
      <c r="N42" s="513"/>
      <c r="O42" s="514"/>
      <c r="P42" s="446"/>
      <c r="Q42" s="28"/>
    </row>
    <row r="43" spans="1:17" x14ac:dyDescent="0.25">
      <c r="A43" s="28"/>
      <c r="B43" s="512"/>
      <c r="C43" s="513"/>
      <c r="D43" s="513"/>
      <c r="E43" s="513"/>
      <c r="F43" s="513"/>
      <c r="G43" s="513"/>
      <c r="H43" s="513"/>
      <c r="I43" s="513"/>
      <c r="J43" s="513"/>
      <c r="K43" s="513"/>
      <c r="L43" s="513"/>
      <c r="M43" s="513"/>
      <c r="N43" s="513"/>
      <c r="O43" s="514"/>
      <c r="P43" s="446"/>
      <c r="Q43" s="28"/>
    </row>
    <row r="44" spans="1:17" x14ac:dyDescent="0.25">
      <c r="A44" s="28"/>
      <c r="B44" s="512"/>
      <c r="C44" s="513"/>
      <c r="D44" s="513"/>
      <c r="E44" s="513"/>
      <c r="F44" s="513"/>
      <c r="G44" s="513"/>
      <c r="H44" s="513"/>
      <c r="I44" s="513"/>
      <c r="J44" s="513"/>
      <c r="K44" s="513"/>
      <c r="L44" s="513"/>
      <c r="M44" s="513"/>
      <c r="N44" s="513"/>
      <c r="O44" s="514"/>
      <c r="P44" s="446"/>
      <c r="Q44" s="28"/>
    </row>
    <row r="45" spans="1:17" x14ac:dyDescent="0.25">
      <c r="A45" s="28"/>
      <c r="B45" s="512"/>
      <c r="C45" s="513"/>
      <c r="D45" s="513"/>
      <c r="E45" s="513"/>
      <c r="F45" s="513"/>
      <c r="G45" s="513"/>
      <c r="H45" s="513"/>
      <c r="I45" s="513"/>
      <c r="J45" s="513"/>
      <c r="K45" s="513"/>
      <c r="L45" s="513"/>
      <c r="M45" s="513"/>
      <c r="N45" s="513"/>
      <c r="O45" s="514"/>
      <c r="P45" s="446"/>
      <c r="Q45" s="28"/>
    </row>
    <row r="46" spans="1:17" x14ac:dyDescent="0.25">
      <c r="A46" s="28"/>
      <c r="B46" s="512"/>
      <c r="C46" s="513"/>
      <c r="D46" s="513"/>
      <c r="E46" s="513"/>
      <c r="F46" s="513"/>
      <c r="G46" s="513"/>
      <c r="H46" s="513"/>
      <c r="I46" s="513"/>
      <c r="J46" s="513"/>
      <c r="K46" s="513"/>
      <c r="L46" s="513"/>
      <c r="M46" s="513"/>
      <c r="N46" s="513"/>
      <c r="O46" s="514"/>
      <c r="P46" s="446"/>
      <c r="Q46" s="28"/>
    </row>
    <row r="47" spans="1:17" x14ac:dyDescent="0.25">
      <c r="A47" s="28"/>
      <c r="B47" s="512"/>
      <c r="C47" s="513"/>
      <c r="D47" s="513"/>
      <c r="E47" s="513"/>
      <c r="F47" s="513"/>
      <c r="G47" s="513"/>
      <c r="H47" s="513"/>
      <c r="I47" s="513"/>
      <c r="J47" s="513"/>
      <c r="K47" s="513"/>
      <c r="L47" s="513"/>
      <c r="M47" s="513"/>
      <c r="N47" s="513"/>
      <c r="O47" s="514"/>
      <c r="P47" s="446"/>
      <c r="Q47" s="28"/>
    </row>
    <row r="48" spans="1:17" x14ac:dyDescent="0.25">
      <c r="A48" s="28"/>
      <c r="B48" s="512"/>
      <c r="C48" s="513"/>
      <c r="D48" s="513"/>
      <c r="E48" s="513"/>
      <c r="F48" s="513"/>
      <c r="G48" s="513"/>
      <c r="H48" s="513"/>
      <c r="I48" s="513"/>
      <c r="J48" s="513"/>
      <c r="K48" s="513"/>
      <c r="L48" s="513"/>
      <c r="M48" s="513"/>
      <c r="N48" s="513"/>
      <c r="O48" s="514"/>
      <c r="P48" s="446"/>
      <c r="Q48" s="28"/>
    </row>
    <row r="49" spans="1:17" x14ac:dyDescent="0.25">
      <c r="A49" s="28"/>
      <c r="B49" s="512"/>
      <c r="C49" s="513"/>
      <c r="D49" s="513"/>
      <c r="E49" s="513"/>
      <c r="F49" s="513"/>
      <c r="G49" s="513"/>
      <c r="H49" s="513"/>
      <c r="I49" s="513"/>
      <c r="J49" s="513"/>
      <c r="K49" s="513"/>
      <c r="L49" s="513"/>
      <c r="M49" s="513"/>
      <c r="N49" s="513"/>
      <c r="O49" s="514"/>
      <c r="P49" s="446"/>
      <c r="Q49" s="28"/>
    </row>
    <row r="50" spans="1:17" x14ac:dyDescent="0.25">
      <c r="A50" s="28"/>
      <c r="B50" s="512"/>
      <c r="C50" s="513"/>
      <c r="D50" s="513"/>
      <c r="E50" s="513"/>
      <c r="F50" s="513"/>
      <c r="G50" s="513"/>
      <c r="H50" s="513"/>
      <c r="I50" s="513"/>
      <c r="J50" s="513"/>
      <c r="K50" s="513"/>
      <c r="L50" s="513"/>
      <c r="M50" s="513"/>
      <c r="N50" s="513"/>
      <c r="O50" s="514"/>
      <c r="P50" s="446"/>
      <c r="Q50" s="28"/>
    </row>
    <row r="51" spans="1:17" x14ac:dyDescent="0.25">
      <c r="A51" s="28"/>
      <c r="B51" s="512"/>
      <c r="C51" s="513"/>
      <c r="D51" s="513"/>
      <c r="E51" s="513"/>
      <c r="F51" s="513"/>
      <c r="G51" s="513"/>
      <c r="H51" s="513"/>
      <c r="I51" s="513"/>
      <c r="J51" s="513"/>
      <c r="K51" s="513"/>
      <c r="L51" s="513"/>
      <c r="M51" s="513"/>
      <c r="N51" s="513"/>
      <c r="O51" s="514"/>
      <c r="P51" s="446"/>
      <c r="Q51" s="28"/>
    </row>
    <row r="52" spans="1:17" x14ac:dyDescent="0.25">
      <c r="A52" s="28"/>
      <c r="B52" s="512"/>
      <c r="C52" s="513"/>
      <c r="D52" s="513"/>
      <c r="E52" s="513"/>
      <c r="F52" s="513"/>
      <c r="G52" s="513"/>
      <c r="H52" s="513"/>
      <c r="I52" s="513"/>
      <c r="J52" s="513"/>
      <c r="K52" s="513"/>
      <c r="L52" s="513"/>
      <c r="M52" s="513"/>
      <c r="N52" s="513"/>
      <c r="O52" s="514"/>
      <c r="P52" s="446"/>
      <c r="Q52" s="28"/>
    </row>
    <row r="53" spans="1:17" x14ac:dyDescent="0.25">
      <c r="A53" s="28"/>
      <c r="B53" s="512"/>
      <c r="C53" s="513"/>
      <c r="D53" s="513"/>
      <c r="E53" s="513"/>
      <c r="F53" s="513"/>
      <c r="G53" s="513"/>
      <c r="H53" s="513"/>
      <c r="I53" s="513"/>
      <c r="J53" s="513"/>
      <c r="K53" s="513"/>
      <c r="L53" s="513"/>
      <c r="M53" s="513"/>
      <c r="N53" s="513"/>
      <c r="O53" s="514"/>
      <c r="P53" s="446"/>
      <c r="Q53" s="28"/>
    </row>
    <row r="54" spans="1:17" x14ac:dyDescent="0.25">
      <c r="A54" s="28"/>
      <c r="B54" s="512"/>
      <c r="C54" s="513"/>
      <c r="D54" s="513"/>
      <c r="E54" s="513"/>
      <c r="F54" s="513"/>
      <c r="G54" s="513"/>
      <c r="H54" s="513"/>
      <c r="I54" s="513"/>
      <c r="J54" s="513"/>
      <c r="K54" s="513"/>
      <c r="L54" s="513"/>
      <c r="M54" s="513"/>
      <c r="N54" s="513"/>
      <c r="O54" s="514"/>
      <c r="P54" s="446"/>
      <c r="Q54" s="28"/>
    </row>
    <row r="55" spans="1:17" x14ac:dyDescent="0.25">
      <c r="A55" s="28"/>
      <c r="B55" s="512"/>
      <c r="C55" s="513"/>
      <c r="D55" s="513"/>
      <c r="E55" s="513"/>
      <c r="F55" s="513"/>
      <c r="G55" s="513"/>
      <c r="H55" s="513"/>
      <c r="I55" s="513"/>
      <c r="J55" s="513"/>
      <c r="K55" s="513"/>
      <c r="L55" s="513"/>
      <c r="M55" s="513"/>
      <c r="N55" s="513"/>
      <c r="O55" s="514"/>
      <c r="P55" s="446"/>
      <c r="Q55" s="28"/>
    </row>
    <row r="56" spans="1:17" x14ac:dyDescent="0.25">
      <c r="A56" s="28"/>
      <c r="B56" s="512"/>
      <c r="C56" s="513"/>
      <c r="D56" s="513"/>
      <c r="E56" s="513"/>
      <c r="F56" s="513"/>
      <c r="G56" s="513"/>
      <c r="H56" s="513"/>
      <c r="I56" s="513"/>
      <c r="J56" s="513"/>
      <c r="K56" s="513"/>
      <c r="L56" s="513"/>
      <c r="M56" s="513"/>
      <c r="N56" s="513"/>
      <c r="O56" s="514"/>
      <c r="P56" s="446"/>
      <c r="Q56" s="28"/>
    </row>
    <row r="57" spans="1:17" x14ac:dyDescent="0.25">
      <c r="A57" s="28"/>
      <c r="B57" s="512"/>
      <c r="C57" s="513"/>
      <c r="D57" s="513"/>
      <c r="E57" s="513"/>
      <c r="F57" s="513"/>
      <c r="G57" s="513"/>
      <c r="H57" s="513"/>
      <c r="I57" s="513"/>
      <c r="J57" s="513"/>
      <c r="K57" s="513"/>
      <c r="L57" s="513"/>
      <c r="M57" s="513"/>
      <c r="N57" s="513"/>
      <c r="O57" s="514"/>
      <c r="P57" s="446"/>
      <c r="Q57" s="28"/>
    </row>
    <row r="58" spans="1:17" x14ac:dyDescent="0.25">
      <c r="A58" s="28"/>
      <c r="B58" s="512"/>
      <c r="C58" s="513"/>
      <c r="D58" s="513"/>
      <c r="E58" s="513"/>
      <c r="F58" s="513"/>
      <c r="G58" s="513"/>
      <c r="H58" s="513"/>
      <c r="I58" s="513"/>
      <c r="J58" s="513"/>
      <c r="K58" s="513"/>
      <c r="L58" s="513"/>
      <c r="M58" s="513"/>
      <c r="N58" s="513"/>
      <c r="O58" s="514"/>
      <c r="P58" s="446"/>
      <c r="Q58" s="28"/>
    </row>
    <row r="59" spans="1:17" x14ac:dyDescent="0.25">
      <c r="A59" s="28"/>
      <c r="B59" s="512"/>
      <c r="C59" s="513"/>
      <c r="D59" s="513"/>
      <c r="E59" s="513"/>
      <c r="F59" s="513"/>
      <c r="G59" s="513"/>
      <c r="H59" s="513"/>
      <c r="I59" s="513"/>
      <c r="J59" s="513"/>
      <c r="K59" s="513"/>
      <c r="L59" s="513"/>
      <c r="M59" s="513"/>
      <c r="N59" s="513"/>
      <c r="O59" s="514"/>
      <c r="P59" s="446"/>
      <c r="Q59" s="28"/>
    </row>
    <row r="60" spans="1:17" x14ac:dyDescent="0.25">
      <c r="A60" s="28"/>
      <c r="B60" s="512"/>
      <c r="C60" s="513"/>
      <c r="D60" s="513"/>
      <c r="E60" s="513"/>
      <c r="F60" s="513"/>
      <c r="G60" s="513"/>
      <c r="H60" s="513"/>
      <c r="I60" s="513"/>
      <c r="J60" s="513"/>
      <c r="K60" s="513"/>
      <c r="L60" s="513"/>
      <c r="M60" s="513"/>
      <c r="N60" s="513"/>
      <c r="O60" s="514"/>
      <c r="P60" s="446"/>
      <c r="Q60" s="28"/>
    </row>
    <row r="61" spans="1:17" x14ac:dyDescent="0.25">
      <c r="A61" s="28"/>
      <c r="B61" s="512"/>
      <c r="C61" s="513"/>
      <c r="D61" s="513"/>
      <c r="E61" s="513"/>
      <c r="F61" s="513"/>
      <c r="G61" s="513"/>
      <c r="H61" s="513"/>
      <c r="I61" s="513"/>
      <c r="J61" s="513"/>
      <c r="K61" s="513"/>
      <c r="L61" s="513"/>
      <c r="M61" s="513"/>
      <c r="N61" s="513"/>
      <c r="O61" s="514"/>
      <c r="P61" s="446"/>
      <c r="Q61" s="28"/>
    </row>
    <row r="62" spans="1:17" x14ac:dyDescent="0.25">
      <c r="A62" s="28"/>
      <c r="B62" s="512"/>
      <c r="C62" s="513"/>
      <c r="D62" s="513"/>
      <c r="E62" s="513"/>
      <c r="F62" s="513"/>
      <c r="G62" s="513"/>
      <c r="H62" s="513"/>
      <c r="I62" s="513"/>
      <c r="J62" s="513"/>
      <c r="K62" s="513"/>
      <c r="L62" s="513"/>
      <c r="M62" s="513"/>
      <c r="N62" s="513"/>
      <c r="O62" s="514"/>
      <c r="P62" s="446"/>
      <c r="Q62" s="28"/>
    </row>
    <row r="63" spans="1:17" x14ac:dyDescent="0.25">
      <c r="A63" s="28"/>
      <c r="B63" s="512"/>
      <c r="C63" s="513"/>
      <c r="D63" s="513"/>
      <c r="E63" s="513"/>
      <c r="F63" s="513"/>
      <c r="G63" s="513"/>
      <c r="H63" s="513"/>
      <c r="I63" s="513"/>
      <c r="J63" s="513"/>
      <c r="K63" s="513"/>
      <c r="L63" s="513"/>
      <c r="M63" s="513"/>
      <c r="N63" s="513"/>
      <c r="O63" s="514"/>
      <c r="P63" s="446"/>
      <c r="Q63" s="28"/>
    </row>
    <row r="64" spans="1:17" x14ac:dyDescent="0.25">
      <c r="A64" s="28"/>
      <c r="B64" s="512"/>
      <c r="C64" s="513"/>
      <c r="D64" s="513"/>
      <c r="E64" s="513"/>
      <c r="F64" s="513"/>
      <c r="G64" s="513"/>
      <c r="H64" s="513"/>
      <c r="I64" s="513"/>
      <c r="J64" s="513"/>
      <c r="K64" s="513"/>
      <c r="L64" s="513"/>
      <c r="M64" s="513"/>
      <c r="N64" s="513"/>
      <c r="O64" s="514"/>
      <c r="P64" s="446"/>
      <c r="Q64" s="28"/>
    </row>
    <row r="65" spans="1:17" x14ac:dyDescent="0.25">
      <c r="A65" s="28"/>
      <c r="B65" s="512"/>
      <c r="C65" s="513"/>
      <c r="D65" s="513"/>
      <c r="E65" s="513"/>
      <c r="F65" s="513"/>
      <c r="G65" s="513"/>
      <c r="H65" s="513"/>
      <c r="I65" s="513"/>
      <c r="J65" s="513"/>
      <c r="K65" s="513"/>
      <c r="L65" s="513"/>
      <c r="M65" s="513"/>
      <c r="N65" s="513"/>
      <c r="O65" s="514"/>
      <c r="P65" s="446"/>
      <c r="Q65" s="28"/>
    </row>
    <row r="66" spans="1:17" x14ac:dyDescent="0.25">
      <c r="A66" s="28"/>
      <c r="B66" s="515"/>
      <c r="C66" s="516"/>
      <c r="D66" s="516"/>
      <c r="E66" s="516"/>
      <c r="F66" s="516"/>
      <c r="G66" s="516"/>
      <c r="H66" s="516"/>
      <c r="I66" s="516"/>
      <c r="J66" s="516"/>
      <c r="K66" s="516"/>
      <c r="L66" s="516"/>
      <c r="M66" s="516"/>
      <c r="N66" s="516"/>
      <c r="O66" s="517"/>
      <c r="P66" s="446"/>
      <c r="Q66" s="28"/>
    </row>
    <row r="67" spans="1:17" x14ac:dyDescent="0.25">
      <c r="A67" s="28"/>
      <c r="B67" s="28"/>
      <c r="C67" s="28"/>
      <c r="D67" s="28"/>
      <c r="E67" s="450"/>
      <c r="F67" s="450"/>
      <c r="G67" s="450"/>
      <c r="H67" s="448"/>
      <c r="I67" s="451"/>
      <c r="J67" s="452"/>
      <c r="K67" s="451"/>
      <c r="L67" s="452"/>
      <c r="M67" s="451"/>
      <c r="N67" s="452"/>
      <c r="O67" s="96"/>
      <c r="P67" s="446"/>
      <c r="Q67" s="96"/>
    </row>
    <row r="68" spans="1:17" x14ac:dyDescent="0.25">
      <c r="A68" s="28"/>
      <c r="B68" s="28"/>
      <c r="C68" s="28"/>
      <c r="D68" s="28"/>
      <c r="E68" s="28"/>
      <c r="F68" s="28"/>
      <c r="G68" s="28"/>
      <c r="H68" s="28"/>
      <c r="I68" s="28"/>
      <c r="J68" s="28"/>
      <c r="K68" s="28"/>
      <c r="L68" s="28"/>
      <c r="M68" s="28"/>
      <c r="N68" s="28"/>
      <c r="O68" s="28"/>
      <c r="P68" s="28"/>
      <c r="Q68" s="28"/>
    </row>
  </sheetData>
  <sheetProtection password="C121" sheet="1" objects="1" scenarios="1"/>
  <mergeCells count="2">
    <mergeCell ref="B7:O31"/>
    <mergeCell ref="B35:O66"/>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
  <sheetViews>
    <sheetView workbookViewId="0"/>
  </sheetViews>
  <sheetFormatPr baseColWidth="10" defaultRowHeight="12.75" x14ac:dyDescent="0.2"/>
  <sheetData>
    <row r="1" spans="1:1" x14ac:dyDescent="0.2">
      <c r="A1">
        <v>0</v>
      </c>
    </row>
  </sheetData>
  <customSheetViews>
    <customSheetView guid="{C0AD46E2-DB76-44EC-B12C-0C3D37E94F1D}" state="hidden">
      <pageMargins left="0.78740157499999996" right="0.78740157499999996" top="0.984251969" bottom="0.984251969" header="0.4921259845" footer="0.4921259845"/>
      <headerFooter alignWithMargins="0"/>
    </customSheetView>
  </customSheetViews>
  <phoneticPr fontId="3"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4</vt:i4>
      </vt:variant>
    </vt:vector>
  </HeadingPairs>
  <TitlesOfParts>
    <vt:vector size="9" baseType="lpstr">
      <vt:lpstr>Einführung</vt:lpstr>
      <vt:lpstr>Kalkulation</vt:lpstr>
      <vt:lpstr>Datenblatt</vt:lpstr>
      <vt:lpstr>Anmerkungen</vt:lpstr>
      <vt:lpstr>hilf</vt:lpstr>
      <vt:lpstr>Datenblatt!Druckbereich</vt:lpstr>
      <vt:lpstr>Kalkulation!Druckbereich</vt:lpstr>
      <vt:lpstr>Endenergie</vt:lpstr>
      <vt:lpstr>Nutzenergie</vt:lpstr>
    </vt:vector>
  </TitlesOfParts>
  <Company>Österreichische Energieagentur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Energieholz Kenndaten-Kalkulation</dc:title>
  <dc:creator>Kasimir Nemestothy</dc:creator>
  <cp:lastModifiedBy>Harrer Melanie</cp:lastModifiedBy>
  <cp:lastPrinted>2022-12-07T10:10:18Z</cp:lastPrinted>
  <dcterms:created xsi:type="dcterms:W3CDTF">1999-06-03T14:01:31Z</dcterms:created>
  <dcterms:modified xsi:type="dcterms:W3CDTF">2023-01-03T16:09:34Z</dcterms:modified>
</cp:coreProperties>
</file>