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DieseArbeitsmappe" defaultThemeVersion="124226"/>
  <mc:AlternateContent xmlns:mc="http://schemas.openxmlformats.org/markup-compatibility/2006">
    <mc:Choice Requires="x15">
      <x15ac:absPath xmlns:x15ac="http://schemas.microsoft.com/office/spreadsheetml/2010/11/ac" url="L:\easedlalten\02_PV-Allgemein\05_PV-Rechner\Aktualisierung für 2024\"/>
    </mc:Choice>
  </mc:AlternateContent>
  <xr:revisionPtr revIDLastSave="0" documentId="13_ncr:1_{AA378AB2-335E-4231-B928-A6B1F32B1B93}" xr6:coauthVersionLast="47" xr6:coauthVersionMax="47" xr10:uidLastSave="{00000000-0000-0000-0000-000000000000}"/>
  <workbookProtection workbookAlgorithmName="SHA-512" workbookHashValue="1eUaEYSMe3vSlHJNrvlUMOCF/W0M3pxZn9RwY4ZF7VF0gr50QfDVg7mDCDSFRqruVxWNNBBzEiBXdhFs1AfjLw==" workbookSaltValue="scTnTt7L/OF2Y9HohWNHSg==" workbookSpinCount="100000" lockStructure="1"/>
  <bookViews>
    <workbookView xWindow="28680" yWindow="-120" windowWidth="29040" windowHeight="17640" tabRatio="801" activeTab="2" xr2:uid="{00000000-000D-0000-FFFF-FFFF00000000}"/>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externalReferences>
    <externalReference r:id="rId10"/>
  </externalReferences>
  <definedNames>
    <definedName name="_xlnm._FilterDatabase" localSheetId="3" hidden="1">Ausrichtung!#REF!</definedName>
    <definedName name="_xlnm._FilterDatabase" localSheetId="2" hidden="1">Eingabe!$C$169:$C$171</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Förderungen!$A$1:$R$114,Förderungen!$S$1:$AN$42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1" l="1"/>
  <c r="C84" i="1"/>
  <c r="G11" i="10"/>
  <c r="G10" i="10"/>
  <c r="AP10" i="10"/>
  <c r="G9" i="10" s="1"/>
  <c r="AP9" i="10"/>
  <c r="G8" i="10" s="1"/>
  <c r="I55" i="1"/>
  <c r="C11" i="10"/>
  <c r="C9" i="10"/>
  <c r="C10" i="10"/>
  <c r="C8" i="10"/>
  <c r="R182" i="1" l="1"/>
  <c r="R183" i="1" s="1"/>
  <c r="G82" i="10"/>
  <c r="C34" i="10"/>
  <c r="C58" i="10" s="1"/>
  <c r="C72" i="10" s="1"/>
  <c r="C84" i="10" s="1"/>
  <c r="C96" i="10" s="1"/>
  <c r="C108" i="10" s="1"/>
  <c r="C21" i="10"/>
  <c r="C45" i="10" s="1"/>
  <c r="C32" i="10"/>
  <c r="C56" i="10" s="1"/>
  <c r="C70" i="10" s="1"/>
  <c r="C82" i="10" s="1"/>
  <c r="C94" i="10" s="1"/>
  <c r="C106" i="10" s="1"/>
  <c r="S180" i="1" l="1"/>
  <c r="G70" i="10"/>
  <c r="G20" i="10"/>
  <c r="G56" i="10"/>
  <c r="G94" i="10"/>
  <c r="G32" i="10"/>
  <c r="G44" i="10"/>
  <c r="G106" i="10"/>
  <c r="U180" i="1"/>
  <c r="C22" i="10"/>
  <c r="C46" i="10" s="1"/>
  <c r="C33" i="10"/>
  <c r="C57" i="10" s="1"/>
  <c r="C71" i="10" s="1"/>
  <c r="C83" i="10" s="1"/>
  <c r="C95" i="10" s="1"/>
  <c r="C107" i="10" s="1"/>
  <c r="C20" i="10"/>
  <c r="C44" i="10" s="1"/>
  <c r="H38" i="1"/>
  <c r="G83" i="10" l="1"/>
  <c r="G71" i="10"/>
  <c r="G45" i="10"/>
  <c r="G33" i="10"/>
  <c r="G107" i="10"/>
  <c r="G95" i="10"/>
  <c r="G57" i="10"/>
  <c r="G21" i="10"/>
  <c r="M25" i="1"/>
  <c r="M9" i="1"/>
  <c r="C166" i="1"/>
  <c r="G46" i="10" l="1"/>
  <c r="G108" i="10"/>
  <c r="G34" i="10"/>
  <c r="G96" i="10"/>
  <c r="G72" i="10"/>
  <c r="G58" i="10"/>
  <c r="G84" i="10"/>
  <c r="C70" i="1"/>
  <c r="C35" i="10" l="1"/>
  <c r="C59" i="10" s="1"/>
  <c r="C73" i="10" s="1"/>
  <c r="C85" i="10" s="1"/>
  <c r="C97" i="10" s="1"/>
  <c r="C109" i="10" s="1"/>
  <c r="C23" i="10"/>
  <c r="C47" i="10" s="1"/>
  <c r="B100" i="10"/>
  <c r="B50" i="10" l="1"/>
  <c r="H64" i="1"/>
  <c r="V266" i="1"/>
  <c r="V267" i="1" s="1"/>
  <c r="V268" i="1" s="1"/>
  <c r="AA237" i="1"/>
  <c r="AA236" i="1"/>
  <c r="AA235" i="1"/>
  <c r="AA234" i="1"/>
  <c r="Z235" i="1"/>
  <c r="Z236" i="1"/>
  <c r="Z237" i="1"/>
  <c r="Z234"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36" i="1"/>
  <c r="Y235" i="1"/>
  <c r="Y234" i="1"/>
  <c r="E32" i="1"/>
  <c r="J89" i="1"/>
  <c r="J88" i="1"/>
  <c r="G34" i="6" s="1"/>
  <c r="G87" i="1"/>
  <c r="G88" i="1"/>
  <c r="M249" i="1"/>
  <c r="AB5" i="17"/>
  <c r="AB6" i="17"/>
  <c r="AB7" i="17" s="1"/>
  <c r="AB8" i="17" s="1"/>
  <c r="AB9" i="17" s="1"/>
  <c r="AB10" i="17" s="1"/>
  <c r="AD13" i="17"/>
  <c r="AD14" i="17" s="1"/>
  <c r="AF14" i="17" s="1"/>
  <c r="AB14" i="17"/>
  <c r="AB15" i="17" s="1"/>
  <c r="AB16" i="17" s="1"/>
  <c r="AB17" i="17" s="1"/>
  <c r="AB18" i="17" s="1"/>
  <c r="AB19" i="17" s="1"/>
  <c r="AB20" i="17" s="1"/>
  <c r="AB21" i="17" s="1"/>
  <c r="AB22" i="17" s="1"/>
  <c r="AB23" i="17" s="1"/>
  <c r="AB24" i="17" s="1"/>
  <c r="AB25" i="17" s="1"/>
  <c r="AC5" i="17"/>
  <c r="AC6" i="17"/>
  <c r="AC7" i="17"/>
  <c r="AC8" i="17"/>
  <c r="AC9" i="17"/>
  <c r="AC10" i="17"/>
  <c r="AC4" i="17"/>
  <c r="AJ5" i="17"/>
  <c r="AJ4" i="17"/>
  <c r="H74" i="1"/>
  <c r="T254" i="1"/>
  <c r="T255" i="1"/>
  <c r="T256" i="1"/>
  <c r="T257" i="1"/>
  <c r="T258" i="1"/>
  <c r="T259" i="1"/>
  <c r="T260" i="1"/>
  <c r="T253" i="1"/>
  <c r="H46" i="1"/>
  <c r="H39" i="1" s="1"/>
  <c r="H40" i="1" s="1"/>
  <c r="Y12" i="6"/>
  <c r="M239" i="1"/>
  <c r="I239" i="1"/>
  <c r="I240" i="1" s="1"/>
  <c r="G239" i="1"/>
  <c r="E239" i="1"/>
  <c r="E240" i="1" s="1"/>
  <c r="F51" i="17"/>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s="1"/>
  <c r="H75" i="1"/>
  <c r="R174" i="1"/>
  <c r="AH12" i="6"/>
  <c r="AA220" i="1"/>
  <c r="Z220" i="1"/>
  <c r="W223" i="1"/>
  <c r="I11" i="6"/>
  <c r="E96" i="10"/>
  <c r="F36" i="6" l="1"/>
  <c r="F28" i="6"/>
  <c r="F20" i="6"/>
  <c r="F12" i="6"/>
  <c r="F35" i="6"/>
  <c r="F27" i="6"/>
  <c r="F19" i="6"/>
  <c r="F34" i="6"/>
  <c r="F26" i="6"/>
  <c r="F18" i="6"/>
  <c r="F33" i="6"/>
  <c r="F25" i="6"/>
  <c r="F17" i="6"/>
  <c r="F32" i="6"/>
  <c r="F24" i="6"/>
  <c r="F16" i="6"/>
  <c r="F31" i="6"/>
  <c r="F23" i="6"/>
  <c r="F15" i="6"/>
  <c r="F30" i="6"/>
  <c r="F22" i="6"/>
  <c r="F14" i="6"/>
  <c r="F29" i="6"/>
  <c r="F21" i="6"/>
  <c r="F13" i="6"/>
  <c r="G12" i="6"/>
  <c r="G13" i="6"/>
  <c r="AD4" i="17"/>
  <c r="AD5" i="17" s="1"/>
  <c r="M180" i="1"/>
  <c r="H59" i="10"/>
  <c r="G33" i="6"/>
  <c r="AG2" i="17"/>
  <c r="G32" i="6"/>
  <c r="AF13" i="17"/>
  <c r="G36" i="6"/>
  <c r="G35" i="6"/>
  <c r="D22" i="9"/>
  <c r="D24" i="9"/>
  <c r="D30" i="9"/>
  <c r="D4" i="9"/>
  <c r="D16" i="9"/>
  <c r="D31" i="9"/>
  <c r="D12" i="9"/>
  <c r="D27" i="9"/>
  <c r="D43" i="9"/>
  <c r="D32" i="9"/>
  <c r="D14" i="9"/>
  <c r="D15" i="9"/>
  <c r="D11" i="9"/>
  <c r="D26" i="9"/>
  <c r="D6" i="9"/>
  <c r="J5" i="11"/>
  <c r="H11" i="1" s="1"/>
  <c r="D5" i="9"/>
  <c r="D33" i="9"/>
  <c r="D29" i="9"/>
  <c r="D36" i="9"/>
  <c r="D48" i="9"/>
  <c r="D10" i="9"/>
  <c r="D44" i="9"/>
  <c r="D28" i="9"/>
  <c r="D50" i="9"/>
  <c r="D51" i="9"/>
  <c r="D13" i="9"/>
  <c r="E241" i="1"/>
  <c r="D21" i="9"/>
  <c r="D49" i="9"/>
  <c r="D41" i="9"/>
  <c r="D39" i="9"/>
  <c r="D46" i="9"/>
  <c r="D40" i="9"/>
  <c r="D37" i="9"/>
  <c r="D34" i="9"/>
  <c r="D19" i="9"/>
  <c r="D38" i="9"/>
  <c r="H47" i="17"/>
  <c r="H75" i="6"/>
  <c r="D81" i="6"/>
  <c r="E74" i="6"/>
  <c r="M47" i="17"/>
  <c r="G47" i="17"/>
  <c r="K47" i="17"/>
  <c r="G80" i="6"/>
  <c r="F73" i="6"/>
  <c r="K72" i="6"/>
  <c r="C73" i="6"/>
  <c r="X33" i="6"/>
  <c r="O47" i="17"/>
  <c r="F79" i="6"/>
  <c r="I82" i="6"/>
  <c r="E81" i="6"/>
  <c r="H43" i="17"/>
  <c r="K75" i="6"/>
  <c r="G82" i="6"/>
  <c r="E76" i="6"/>
  <c r="F80" i="6"/>
  <c r="E82" i="6"/>
  <c r="D82" i="6"/>
  <c r="C75" i="6"/>
  <c r="C79" i="6"/>
  <c r="F76" i="6"/>
  <c r="K80" i="6"/>
  <c r="E80" i="6"/>
  <c r="E79" i="6"/>
  <c r="D76" i="6"/>
  <c r="I77" i="6"/>
  <c r="I75" i="6"/>
  <c r="J80" i="6"/>
  <c r="G79" i="6"/>
  <c r="H82" i="6"/>
  <c r="D73" i="6"/>
  <c r="J74" i="6"/>
  <c r="H80" i="6"/>
  <c r="C81" i="6"/>
  <c r="C80" i="6"/>
  <c r="H81" i="6"/>
  <c r="G74" i="6"/>
  <c r="K78" i="6"/>
  <c r="J82" i="6"/>
  <c r="K73" i="6"/>
  <c r="C74" i="6"/>
  <c r="F82" i="6"/>
  <c r="H73" i="6"/>
  <c r="J42" i="17"/>
  <c r="M43" i="17"/>
  <c r="I38" i="17"/>
  <c r="I42" i="17"/>
  <c r="G42" i="17"/>
  <c r="K43" i="17"/>
  <c r="O42" i="17"/>
  <c r="N42" i="17"/>
  <c r="I44" i="17"/>
  <c r="O44" i="17"/>
  <c r="G44" i="17"/>
  <c r="L47" i="17"/>
  <c r="F47" i="17"/>
  <c r="N47" i="17"/>
  <c r="K77" i="6"/>
  <c r="K79" i="6"/>
  <c r="D74" i="6"/>
  <c r="I76" i="6"/>
  <c r="I81" i="6"/>
  <c r="J79" i="6"/>
  <c r="C76" i="6"/>
  <c r="I74" i="6"/>
  <c r="G77" i="6"/>
  <c r="J75" i="6"/>
  <c r="D80" i="6"/>
  <c r="C82" i="6"/>
  <c r="G75" i="6"/>
  <c r="D75" i="6"/>
  <c r="J81" i="6"/>
  <c r="F81" i="6"/>
  <c r="F75" i="6"/>
  <c r="G81" i="6"/>
  <c r="H79" i="6"/>
  <c r="G76" i="6"/>
  <c r="J76" i="6"/>
  <c r="D77" i="6"/>
  <c r="I73" i="6"/>
  <c r="J77" i="6"/>
  <c r="G73" i="6"/>
  <c r="I80" i="6"/>
  <c r="E75" i="6"/>
  <c r="H74" i="6"/>
  <c r="K74" i="6"/>
  <c r="H77" i="6"/>
  <c r="K71" i="6"/>
  <c r="J73" i="6"/>
  <c r="D79" i="6"/>
  <c r="H76" i="6"/>
  <c r="E73" i="6"/>
  <c r="E77" i="6"/>
  <c r="F74" i="6"/>
  <c r="I79" i="6"/>
  <c r="F77" i="6"/>
  <c r="W220" i="1"/>
  <c r="W221" i="1" s="1"/>
  <c r="D23" i="9"/>
  <c r="D53" i="9"/>
  <c r="D45" i="9"/>
  <c r="D25" i="9"/>
  <c r="D9" i="9"/>
  <c r="D42" i="9"/>
  <c r="D17" i="9"/>
  <c r="D7" i="9"/>
  <c r="D3" i="9"/>
  <c r="D47" i="9"/>
  <c r="D18" i="9"/>
  <c r="D20" i="9"/>
  <c r="D52" i="9"/>
  <c r="D35" i="9"/>
  <c r="X14" i="6"/>
  <c r="X27" i="6"/>
  <c r="X32" i="6"/>
  <c r="M171" i="1"/>
  <c r="T16" i="6"/>
  <c r="X23" i="6"/>
  <c r="T31" i="6"/>
  <c r="T14" i="6"/>
  <c r="T35" i="6"/>
  <c r="T25" i="6"/>
  <c r="X29" i="6"/>
  <c r="T19" i="6"/>
  <c r="X20" i="6"/>
  <c r="T36" i="6"/>
  <c r="X35" i="6"/>
  <c r="X30" i="6"/>
  <c r="X21" i="6"/>
  <c r="T12" i="6"/>
  <c r="X18" i="6"/>
  <c r="T20" i="6"/>
  <c r="T21" i="6"/>
  <c r="T33" i="6"/>
  <c r="X16" i="6"/>
  <c r="T13" i="6"/>
  <c r="T17" i="6"/>
  <c r="Y25" i="6"/>
  <c r="Y24" i="6"/>
  <c r="T22" i="6"/>
  <c r="X22" i="6"/>
  <c r="X36" i="6"/>
  <c r="X17" i="6"/>
  <c r="X24" i="6"/>
  <c r="T30" i="6"/>
  <c r="T23" i="6"/>
  <c r="T27" i="6"/>
  <c r="T15" i="6"/>
  <c r="X31" i="6"/>
  <c r="T34" i="6"/>
  <c r="T32" i="6"/>
  <c r="X26" i="6"/>
  <c r="K172" i="1"/>
  <c r="M172" i="1" s="1"/>
  <c r="H79" i="1"/>
  <c r="Y13" i="6"/>
  <c r="T29" i="6"/>
  <c r="T18" i="6"/>
  <c r="T28" i="6"/>
  <c r="X15" i="6"/>
  <c r="X28" i="6"/>
  <c r="X34" i="6"/>
  <c r="X19" i="6"/>
  <c r="T26" i="6"/>
  <c r="X25" i="6"/>
  <c r="T24" i="6"/>
  <c r="E43" i="17"/>
  <c r="L42" i="17"/>
  <c r="L44" i="17"/>
  <c r="O43" i="17"/>
  <c r="G43" i="17"/>
  <c r="E44" i="17"/>
  <c r="M44" i="17"/>
  <c r="M38" i="17"/>
  <c r="H44" i="17"/>
  <c r="D42" i="17"/>
  <c r="F38" i="17"/>
  <c r="J38" i="17"/>
  <c r="F42" i="17"/>
  <c r="D44" i="17"/>
  <c r="J43" i="17"/>
  <c r="K38" i="17"/>
  <c r="L38" i="17"/>
  <c r="P43" i="17"/>
  <c r="H38" i="17"/>
  <c r="I43" i="17"/>
  <c r="P44" i="17"/>
  <c r="N43" i="17"/>
  <c r="D43" i="17"/>
  <c r="J44" i="17"/>
  <c r="N44" i="17"/>
  <c r="K44" i="17"/>
  <c r="P42" i="17"/>
  <c r="O38" i="17"/>
  <c r="E38" i="17"/>
  <c r="E42" i="17"/>
  <c r="N38" i="17"/>
  <c r="F43" i="17"/>
  <c r="K42" i="17"/>
  <c r="L43" i="17"/>
  <c r="H42" i="17"/>
  <c r="P38" i="17"/>
  <c r="M42" i="17"/>
  <c r="G38" i="17"/>
  <c r="D38" i="17"/>
  <c r="F44" i="17"/>
  <c r="J4" i="11"/>
  <c r="C52" i="1" s="1"/>
  <c r="F6" i="6"/>
  <c r="S29" i="6" l="1"/>
  <c r="R29" i="6" s="1"/>
  <c r="O29" i="6" s="1"/>
  <c r="S26" i="6"/>
  <c r="R26" i="6" s="1"/>
  <c r="O26" i="6" s="1"/>
  <c r="S27" i="6"/>
  <c r="R27" i="6" s="1"/>
  <c r="O27" i="6" s="1"/>
  <c r="C27" i="6" s="1"/>
  <c r="S25" i="6"/>
  <c r="R25" i="6" s="1"/>
  <c r="O25" i="6" s="1"/>
  <c r="S35" i="6"/>
  <c r="R35" i="6" s="1"/>
  <c r="O35" i="6" s="1"/>
  <c r="S32" i="6"/>
  <c r="R32" i="6" s="1"/>
  <c r="O32" i="6" s="1"/>
  <c r="C32" i="6" s="1"/>
  <c r="S31" i="6"/>
  <c r="R31" i="6" s="1"/>
  <c r="O31" i="6"/>
  <c r="S30" i="6"/>
  <c r="R30" i="6" s="1"/>
  <c r="O30" i="6" s="1"/>
  <c r="S28" i="6"/>
  <c r="R28" i="6" s="1"/>
  <c r="O28" i="6" s="1"/>
  <c r="C28" i="6" s="1"/>
  <c r="S34" i="6"/>
  <c r="R34" i="6" s="1"/>
  <c r="O34" i="6" s="1"/>
  <c r="S33" i="6"/>
  <c r="R33" i="6" s="1"/>
  <c r="O33" i="6" s="1"/>
  <c r="S36" i="6"/>
  <c r="R36" i="6" s="1"/>
  <c r="O36" i="6" s="1"/>
  <c r="G22" i="10"/>
  <c r="AF4" i="17"/>
  <c r="H47" i="10"/>
  <c r="E58" i="6" s="1"/>
  <c r="H35" i="10"/>
  <c r="E57" i="6" s="1"/>
  <c r="F57" i="6" s="1"/>
  <c r="H97" i="10"/>
  <c r="E62" i="6" s="1"/>
  <c r="F62" i="6" s="1"/>
  <c r="J85" i="6" s="1"/>
  <c r="H23" i="10"/>
  <c r="E56" i="6" s="1"/>
  <c r="F56" i="6" s="1"/>
  <c r="D85" i="6" s="1"/>
  <c r="H73" i="10"/>
  <c r="E60" i="6" s="1"/>
  <c r="F60" i="6" s="1"/>
  <c r="H85" i="6" s="1"/>
  <c r="E55" i="6"/>
  <c r="F55" i="6" s="1"/>
  <c r="C85" i="6" s="1"/>
  <c r="H109" i="10"/>
  <c r="E63" i="6" s="1"/>
  <c r="F63" i="6" s="1"/>
  <c r="K83" i="6" s="1"/>
  <c r="H85" i="10"/>
  <c r="E61" i="6" s="1"/>
  <c r="AF5" i="17"/>
  <c r="AG4" i="17"/>
  <c r="J78" i="6"/>
  <c r="H78" i="6"/>
  <c r="C78" i="6"/>
  <c r="D78" i="6"/>
  <c r="E78" i="6"/>
  <c r="H57" i="1"/>
  <c r="I57" i="1" s="1"/>
  <c r="L4" i="9"/>
  <c r="I22" i="9" s="1"/>
  <c r="J22" i="9" s="1"/>
  <c r="F59" i="1"/>
  <c r="F57" i="1"/>
  <c r="G57" i="1"/>
  <c r="E57" i="1"/>
  <c r="E56" i="1"/>
  <c r="M173" i="1"/>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1"/>
  <c r="D59" i="1"/>
  <c r="D57" i="1"/>
  <c r="C62" i="1"/>
  <c r="D58" i="1"/>
  <c r="F56" i="1"/>
  <c r="C61" i="1"/>
  <c r="D56" i="1"/>
  <c r="H56" i="1"/>
  <c r="I56" i="1" s="1"/>
  <c r="G58" i="1"/>
  <c r="G59" i="1"/>
  <c r="E58" i="1"/>
  <c r="G56" i="1"/>
  <c r="F58" i="1"/>
  <c r="J89" i="6"/>
  <c r="C89" i="6"/>
  <c r="H89" i="6"/>
  <c r="I61" i="6"/>
  <c r="I55" i="6"/>
  <c r="I89" i="6"/>
  <c r="I62" i="6"/>
  <c r="H186" i="1"/>
  <c r="I60" i="6"/>
  <c r="G210" i="1" l="1"/>
  <c r="G212" i="1"/>
  <c r="G213" i="1"/>
  <c r="G214" i="1"/>
  <c r="F214" i="1" s="1"/>
  <c r="G209" i="1"/>
  <c r="G215" i="1"/>
  <c r="G216" i="1"/>
  <c r="G217" i="1"/>
  <c r="G211" i="1"/>
  <c r="F217" i="1"/>
  <c r="F213" i="1"/>
  <c r="F209" i="1"/>
  <c r="E83" i="6"/>
  <c r="E85" i="6"/>
  <c r="F61" i="6"/>
  <c r="I78" i="6"/>
  <c r="K76" i="6"/>
  <c r="I84" i="6"/>
  <c r="I83" i="6"/>
  <c r="K82" i="6"/>
  <c r="K81" i="6"/>
  <c r="C84" i="6"/>
  <c r="C83" i="6"/>
  <c r="H84" i="6"/>
  <c r="H83" i="6"/>
  <c r="D84" i="6"/>
  <c r="D83" i="6"/>
  <c r="J84" i="6"/>
  <c r="J83" i="6"/>
  <c r="H58" i="1"/>
  <c r="I58" i="1" s="1"/>
  <c r="E87" i="6"/>
  <c r="E84" i="6"/>
  <c r="W29" i="6"/>
  <c r="C29" i="6"/>
  <c r="W35" i="6"/>
  <c r="C35" i="6"/>
  <c r="W26" i="6"/>
  <c r="C26" i="6"/>
  <c r="W30" i="6"/>
  <c r="C30" i="6"/>
  <c r="W25" i="6"/>
  <c r="C25" i="6"/>
  <c r="W33" i="6"/>
  <c r="C33" i="6"/>
  <c r="W34" i="6"/>
  <c r="C34" i="6"/>
  <c r="W36" i="6"/>
  <c r="C36" i="6"/>
  <c r="W31" i="6"/>
  <c r="C31" i="6"/>
  <c r="I86" i="6"/>
  <c r="H56" i="6"/>
  <c r="I56" i="6" s="1"/>
  <c r="D86" i="6"/>
  <c r="H60" i="6"/>
  <c r="H86" i="6"/>
  <c r="H63" i="6"/>
  <c r="I63" i="6" s="1"/>
  <c r="K84" i="6"/>
  <c r="H62" i="6"/>
  <c r="J86" i="6"/>
  <c r="H55" i="6"/>
  <c r="C86" i="6"/>
  <c r="H57" i="6"/>
  <c r="I57" i="6" s="1"/>
  <c r="E86" i="6"/>
  <c r="W27" i="6"/>
  <c r="C77" i="6"/>
  <c r="W28" i="6"/>
  <c r="W32" i="6"/>
  <c r="P217" i="1"/>
  <c r="E59" i="6"/>
  <c r="F59" i="6" s="1"/>
  <c r="G85" i="6" s="1"/>
  <c r="I16" i="9"/>
  <c r="J16" i="9" s="1"/>
  <c r="F78" i="6"/>
  <c r="G78" i="6"/>
  <c r="I5" i="9"/>
  <c r="J5" i="9" s="1"/>
  <c r="H59" i="1"/>
  <c r="I59" i="1" s="1"/>
  <c r="M195" i="1" s="1"/>
  <c r="C87" i="6"/>
  <c r="D87" i="6"/>
  <c r="K85" i="6"/>
  <c r="H87" i="6"/>
  <c r="J87" i="6"/>
  <c r="I34" i="9"/>
  <c r="J34" i="9" s="1"/>
  <c r="I23" i="9"/>
  <c r="J23" i="9" s="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F85" i="6" s="1"/>
  <c r="G205" i="1"/>
  <c r="G204" i="1"/>
  <c r="R265" i="1"/>
  <c r="F216" i="1"/>
  <c r="I85" i="6" l="1"/>
  <c r="I87" i="6"/>
  <c r="H61" i="6"/>
  <c r="F84" i="6"/>
  <c r="F83" i="6"/>
  <c r="G84" i="6"/>
  <c r="G83" i="6"/>
  <c r="E88" i="6"/>
  <c r="E89" i="6" s="1"/>
  <c r="H88" i="6"/>
  <c r="K86" i="6"/>
  <c r="K87" i="6" s="1"/>
  <c r="H58" i="6"/>
  <c r="I58" i="6" s="1"/>
  <c r="F86" i="6"/>
  <c r="D88" i="6"/>
  <c r="D89" i="6" s="1"/>
  <c r="J88" i="6"/>
  <c r="H59" i="6"/>
  <c r="I59" i="6" s="1"/>
  <c r="G86" i="6"/>
  <c r="C88" i="6"/>
  <c r="G87" i="6"/>
  <c r="F87" i="6"/>
  <c r="J54" i="9"/>
  <c r="I54" i="9"/>
  <c r="H218" i="1"/>
  <c r="I88" i="6" l="1"/>
  <c r="G218" i="1"/>
  <c r="M191" i="1" s="1"/>
  <c r="F88" i="6"/>
  <c r="F89" i="6" s="1"/>
  <c r="G88" i="6"/>
  <c r="G89" i="6" s="1"/>
  <c r="H64" i="6"/>
  <c r="L87" i="6" s="1"/>
  <c r="M179" i="1" s="1"/>
  <c r="M181" i="1" s="1"/>
  <c r="K54" i="9"/>
  <c r="L5" i="9" s="1"/>
  <c r="H15" i="1" s="1"/>
  <c r="I17" i="17" s="1"/>
  <c r="M17" i="17" s="1"/>
  <c r="K29" i="17" s="1"/>
  <c r="F7" i="6" l="1"/>
  <c r="R17" i="6" s="1"/>
  <c r="N28" i="17"/>
  <c r="K24" i="17"/>
  <c r="H30" i="17"/>
  <c r="J28" i="17"/>
  <c r="G25" i="17"/>
  <c r="G39" i="17" s="1"/>
  <c r="H28" i="17"/>
  <c r="I28" i="17"/>
  <c r="D30" i="17"/>
  <c r="P25" i="17"/>
  <c r="P39" i="17" s="1"/>
  <c r="I25" i="17"/>
  <c r="I39" i="17" s="1"/>
  <c r="J30" i="17"/>
  <c r="O30" i="17"/>
  <c r="I24" i="17"/>
  <c r="P30" i="17"/>
  <c r="H25" i="17"/>
  <c r="H39" i="17" s="1"/>
  <c r="F26" i="17"/>
  <c r="F40" i="17" s="1"/>
  <c r="N25" i="17"/>
  <c r="N39" i="17" s="1"/>
  <c r="N29" i="17"/>
  <c r="P29" i="17"/>
  <c r="G29" i="17"/>
  <c r="K27" i="17"/>
  <c r="K41" i="17" s="1"/>
  <c r="H26" i="17"/>
  <c r="H40" i="17" s="1"/>
  <c r="I27" i="17"/>
  <c r="I41" i="17" s="1"/>
  <c r="N30" i="17"/>
  <c r="N26" i="17"/>
  <c r="N40" i="17" s="1"/>
  <c r="M27" i="17"/>
  <c r="M41" i="17" s="1"/>
  <c r="N24" i="17"/>
  <c r="G24" i="17"/>
  <c r="J27" i="17"/>
  <c r="J41" i="17" s="1"/>
  <c r="M29" i="17"/>
  <c r="K25" i="17"/>
  <c r="K39" i="17" s="1"/>
  <c r="P24" i="17"/>
  <c r="L30" i="17"/>
  <c r="P27" i="17"/>
  <c r="P41" i="17" s="1"/>
  <c r="O26" i="17"/>
  <c r="O40" i="17" s="1"/>
  <c r="L26" i="17"/>
  <c r="L40" i="17" s="1"/>
  <c r="D28" i="17"/>
  <c r="E27" i="17"/>
  <c r="E41" i="17" s="1"/>
  <c r="K26" i="17"/>
  <c r="K40" i="17" s="1"/>
  <c r="M25" i="17"/>
  <c r="M39" i="17" s="1"/>
  <c r="O25" i="17"/>
  <c r="O39" i="17" s="1"/>
  <c r="E25" i="17"/>
  <c r="E39" i="17" s="1"/>
  <c r="G30" i="17"/>
  <c r="E28" i="17"/>
  <c r="M30" i="17"/>
  <c r="O28" i="17"/>
  <c r="N27" i="17"/>
  <c r="N41" i="17" s="1"/>
  <c r="D24" i="17"/>
  <c r="E29" i="17"/>
  <c r="L29" i="17"/>
  <c r="F24" i="17"/>
  <c r="E26" i="17"/>
  <c r="E40" i="17" s="1"/>
  <c r="D26" i="17"/>
  <c r="D40" i="17" s="1"/>
  <c r="J26" i="17"/>
  <c r="J40" i="17" s="1"/>
  <c r="H24" i="17"/>
  <c r="K28" i="17"/>
  <c r="J24" i="17"/>
  <c r="L27" i="17"/>
  <c r="L41" i="17" s="1"/>
  <c r="L25" i="17"/>
  <c r="L39" i="17" s="1"/>
  <c r="M28" i="17"/>
  <c r="D25" i="17"/>
  <c r="D39" i="17" s="1"/>
  <c r="M24" i="17"/>
  <c r="D29" i="17"/>
  <c r="I30" i="17"/>
  <c r="E24" i="17"/>
  <c r="F30" i="17"/>
  <c r="G28" i="17"/>
  <c r="J29" i="17"/>
  <c r="F27" i="17"/>
  <c r="F41" i="17" s="1"/>
  <c r="F29" i="17"/>
  <c r="K30" i="17"/>
  <c r="O29" i="17"/>
  <c r="M26" i="17"/>
  <c r="M40" i="17" s="1"/>
  <c r="P28" i="17"/>
  <c r="H29" i="17"/>
  <c r="L28" i="17"/>
  <c r="J25" i="17"/>
  <c r="J39" i="17" s="1"/>
  <c r="G27" i="17"/>
  <c r="G41" i="17" s="1"/>
  <c r="O27" i="17"/>
  <c r="O41" i="17" s="1"/>
  <c r="I26" i="17"/>
  <c r="I40" i="17" s="1"/>
  <c r="E30" i="17"/>
  <c r="F28" i="17"/>
  <c r="L24" i="17"/>
  <c r="G26" i="17"/>
  <c r="G40" i="17" s="1"/>
  <c r="P26" i="17"/>
  <c r="P40" i="17" s="1"/>
  <c r="F25" i="17"/>
  <c r="F39" i="17" s="1"/>
  <c r="H27" i="17"/>
  <c r="H41" i="17" s="1"/>
  <c r="O24" i="17"/>
  <c r="I29" i="17"/>
  <c r="I47" i="17"/>
  <c r="D27" i="17"/>
  <c r="D41" i="17" s="1"/>
  <c r="P47" i="17" l="1"/>
  <c r="D47" i="17"/>
  <c r="S17" i="6"/>
  <c r="R19" i="6"/>
  <c r="R12" i="6"/>
  <c r="R22" i="6"/>
  <c r="R24" i="6"/>
  <c r="R18" i="6"/>
  <c r="R15" i="6"/>
  <c r="R14" i="6"/>
  <c r="R21" i="6"/>
  <c r="R16" i="6"/>
  <c r="R20" i="6"/>
  <c r="R13" i="6"/>
  <c r="R23" i="6"/>
  <c r="J47" i="17"/>
  <c r="O17" i="6" l="1"/>
  <c r="W17" i="6" s="1"/>
  <c r="H51" i="17"/>
  <c r="H16" i="1" s="1"/>
  <c r="H111" i="1" s="1"/>
  <c r="V240" i="1" s="1"/>
  <c r="S23" i="6"/>
  <c r="O23" i="6" s="1"/>
  <c r="S21" i="6"/>
  <c r="O21" i="6" s="1"/>
  <c r="S18" i="6"/>
  <c r="O18" i="6" s="1"/>
  <c r="S19" i="6"/>
  <c r="O19" i="6" s="1"/>
  <c r="S13" i="6"/>
  <c r="O13" i="6" s="1"/>
  <c r="S14" i="6"/>
  <c r="O14" i="6" s="1"/>
  <c r="S24" i="6"/>
  <c r="O24" i="6" s="1"/>
  <c r="S20" i="6"/>
  <c r="O20" i="6" s="1"/>
  <c r="S22" i="6"/>
  <c r="O22" i="6" s="1"/>
  <c r="S16" i="6"/>
  <c r="O16" i="6" s="1"/>
  <c r="S15" i="6"/>
  <c r="O15" i="6" s="1"/>
  <c r="S12" i="6"/>
  <c r="O12" i="6" s="1"/>
  <c r="C17" i="6" l="1"/>
  <c r="W24" i="6"/>
  <c r="C24" i="6"/>
  <c r="W19" i="6"/>
  <c r="C19" i="6"/>
  <c r="W16" i="6"/>
  <c r="C16" i="6"/>
  <c r="W21" i="6"/>
  <c r="C21" i="6"/>
  <c r="W20" i="6"/>
  <c r="C20" i="6"/>
  <c r="V239" i="1"/>
  <c r="U239" i="1" s="1"/>
  <c r="N248" i="1"/>
  <c r="F218" i="1" s="1"/>
  <c r="M250" i="1"/>
  <c r="M251" i="1" s="1"/>
  <c r="H112" i="1"/>
  <c r="D12" i="6" s="1"/>
  <c r="AD12" i="6" s="1"/>
  <c r="G90" i="1" l="1"/>
  <c r="G91" i="1" s="1"/>
  <c r="I218" i="1"/>
  <c r="H90" i="1" s="1"/>
  <c r="W14" i="6"/>
  <c r="C14" i="6"/>
  <c r="W15" i="6"/>
  <c r="C15" i="6"/>
  <c r="W12" i="6"/>
  <c r="C12" i="6"/>
  <c r="E12" i="6" s="1"/>
  <c r="W23" i="6"/>
  <c r="C23" i="6"/>
  <c r="W18" i="6"/>
  <c r="C18" i="6"/>
  <c r="W22" i="6"/>
  <c r="C22" i="6"/>
  <c r="W13" i="6"/>
  <c r="C13" i="6"/>
  <c r="V33" i="6"/>
  <c r="AA33" i="6" s="1"/>
  <c r="J191" i="1"/>
  <c r="W77" i="1"/>
  <c r="W76" i="1" s="1"/>
  <c r="D35" i="6"/>
  <c r="E35" i="6" s="1"/>
  <c r="D32" i="6"/>
  <c r="E32" i="6" s="1"/>
  <c r="V17" i="6"/>
  <c r="AA17" i="6" s="1"/>
  <c r="V36" i="6"/>
  <c r="AA36" i="6" s="1"/>
  <c r="D27" i="6"/>
  <c r="E27" i="6" s="1"/>
  <c r="V13" i="6"/>
  <c r="AA13" i="6" s="1"/>
  <c r="V34" i="6"/>
  <c r="AA34" i="6" s="1"/>
  <c r="D21" i="6"/>
  <c r="E21" i="6" s="1"/>
  <c r="V27" i="6"/>
  <c r="AA27" i="6" s="1"/>
  <c r="V35" i="6"/>
  <c r="AA35" i="6" s="1"/>
  <c r="D30" i="6"/>
  <c r="E30" i="6" s="1"/>
  <c r="D17" i="6"/>
  <c r="E17" i="6" s="1"/>
  <c r="D28" i="6"/>
  <c r="E28" i="6" s="1"/>
  <c r="V26" i="6"/>
  <c r="AA26" i="6" s="1"/>
  <c r="D25" i="6"/>
  <c r="E25" i="6" s="1"/>
  <c r="D26" i="6"/>
  <c r="E26" i="6" s="1"/>
  <c r="V32" i="6"/>
  <c r="AA32" i="6" s="1"/>
  <c r="V22" i="6"/>
  <c r="AA22" i="6" s="1"/>
  <c r="D31" i="6"/>
  <c r="E31" i="6" s="1"/>
  <c r="D22" i="6"/>
  <c r="D19" i="6"/>
  <c r="E19" i="6" s="1"/>
  <c r="D13" i="6"/>
  <c r="AD13" i="6" s="1"/>
  <c r="V15" i="6"/>
  <c r="AA15" i="6" s="1"/>
  <c r="V24" i="6"/>
  <c r="AA24" i="6" s="1"/>
  <c r="V29" i="6"/>
  <c r="AA29" i="6" s="1"/>
  <c r="V19" i="6"/>
  <c r="AA19" i="6" s="1"/>
  <c r="V31" i="6"/>
  <c r="AA31" i="6" s="1"/>
  <c r="D14" i="6"/>
  <c r="D24" i="6"/>
  <c r="E24" i="6" s="1"/>
  <c r="V16" i="6"/>
  <c r="AA16" i="6" s="1"/>
  <c r="D15" i="6"/>
  <c r="D34" i="6"/>
  <c r="E34" i="6" s="1"/>
  <c r="D33" i="6"/>
  <c r="E33" i="6" s="1"/>
  <c r="D36" i="6"/>
  <c r="E36" i="6" s="1"/>
  <c r="V23" i="6"/>
  <c r="AA23" i="6" s="1"/>
  <c r="N250" i="1"/>
  <c r="O250" i="1" s="1"/>
  <c r="P250" i="1" s="1"/>
  <c r="V30" i="6"/>
  <c r="AA30" i="6" s="1"/>
  <c r="D18" i="6"/>
  <c r="V21" i="6"/>
  <c r="AA21" i="6" s="1"/>
  <c r="D29" i="6"/>
  <c r="E29" i="6" s="1"/>
  <c r="V18" i="6"/>
  <c r="AA18" i="6" s="1"/>
  <c r="V25" i="6"/>
  <c r="AA25" i="6" s="1"/>
  <c r="D16" i="6"/>
  <c r="E16" i="6" s="1"/>
  <c r="V20" i="6"/>
  <c r="AA20" i="6" s="1"/>
  <c r="V12" i="6"/>
  <c r="AA12" i="6" s="1"/>
  <c r="D20" i="6"/>
  <c r="E20" i="6" s="1"/>
  <c r="V14" i="6"/>
  <c r="AA14" i="6" s="1"/>
  <c r="V28" i="6"/>
  <c r="AA28" i="6" s="1"/>
  <c r="D23" i="6"/>
  <c r="G220" i="1" l="1"/>
  <c r="H92" i="1"/>
  <c r="E18" i="6"/>
  <c r="E13" i="6"/>
  <c r="AD14" i="6"/>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E22" i="6"/>
  <c r="D37" i="6"/>
  <c r="H113" i="1" s="1"/>
  <c r="H121" i="1" s="1"/>
  <c r="E15" i="6"/>
  <c r="E14" i="6"/>
  <c r="E23" i="6"/>
  <c r="G22" i="6"/>
  <c r="G24" i="6"/>
  <c r="G25" i="6"/>
  <c r="G31" i="6"/>
  <c r="G27" i="6"/>
  <c r="G26" i="6"/>
  <c r="G28" i="6"/>
  <c r="G29" i="6"/>
  <c r="G30" i="6"/>
  <c r="G23" i="6"/>
  <c r="O21" i="1" l="1"/>
  <c r="G14" i="6"/>
  <c r="H15" i="6" s="1"/>
  <c r="G19" i="6"/>
  <c r="J92" i="1"/>
  <c r="N191" i="1"/>
  <c r="G15" i="6"/>
  <c r="G21" i="6"/>
  <c r="G17" i="6"/>
  <c r="G16" i="6"/>
  <c r="G20" i="6"/>
  <c r="H12" i="6"/>
  <c r="I12" i="6" s="1"/>
  <c r="H13" i="6"/>
  <c r="I13" i="6" s="1"/>
  <c r="J13" i="6" s="1"/>
  <c r="K13" i="6" s="1"/>
  <c r="G18" i="6"/>
  <c r="H116" i="1"/>
  <c r="F11" i="6"/>
  <c r="J11" i="6" s="1"/>
  <c r="H14" i="6"/>
  <c r="E37" i="6"/>
  <c r="I14" i="6" l="1"/>
  <c r="J14" i="6" s="1"/>
  <c r="K14" i="6" s="1"/>
  <c r="H26" i="6"/>
  <c r="I26" i="6" s="1"/>
  <c r="J26" i="6" s="1"/>
  <c r="K26" i="6" s="1"/>
  <c r="H34" i="6"/>
  <c r="I34" i="6" s="1"/>
  <c r="J34" i="6" s="1"/>
  <c r="K34" i="6" s="1"/>
  <c r="H23" i="6"/>
  <c r="I23" i="6" s="1"/>
  <c r="J23" i="6" s="1"/>
  <c r="K23" i="6" s="1"/>
  <c r="AB11" i="6"/>
  <c r="AB12" i="6" s="1"/>
  <c r="AF12" i="6" s="1"/>
  <c r="H28" i="6"/>
  <c r="I28" i="6" s="1"/>
  <c r="J28" i="6" s="1"/>
  <c r="K28" i="6" s="1"/>
  <c r="I15" i="6"/>
  <c r="J15" i="6" s="1"/>
  <c r="K15" i="6" s="1"/>
  <c r="H25" i="6"/>
  <c r="I25" i="6" s="1"/>
  <c r="J25" i="6" s="1"/>
  <c r="K25" i="6" s="1"/>
  <c r="H36" i="6"/>
  <c r="I36" i="6" s="1"/>
  <c r="J36" i="6" s="1"/>
  <c r="K36" i="6" s="1"/>
  <c r="H18" i="6"/>
  <c r="I18" i="6" s="1"/>
  <c r="J18" i="6" s="1"/>
  <c r="K18" i="6" s="1"/>
  <c r="H21" i="6"/>
  <c r="I21" i="6" s="1"/>
  <c r="J21" i="6" s="1"/>
  <c r="K21" i="6" s="1"/>
  <c r="H35" i="6"/>
  <c r="I35" i="6" s="1"/>
  <c r="J35" i="6" s="1"/>
  <c r="K35" i="6" s="1"/>
  <c r="H20" i="6"/>
  <c r="I20" i="6" s="1"/>
  <c r="J20" i="6" s="1"/>
  <c r="K20" i="6" s="1"/>
  <c r="F37" i="6"/>
  <c r="H19" i="6"/>
  <c r="I19" i="6" s="1"/>
  <c r="J19" i="6" s="1"/>
  <c r="K19" i="6" s="1"/>
  <c r="H32" i="6"/>
  <c r="I32" i="6" s="1"/>
  <c r="J32" i="6" s="1"/>
  <c r="K32" i="6" s="1"/>
  <c r="H17" i="6"/>
  <c r="I17" i="6" s="1"/>
  <c r="J17" i="6" s="1"/>
  <c r="K17" i="6" s="1"/>
  <c r="G37" i="6"/>
  <c r="H27" i="6"/>
  <c r="I27" i="6" s="1"/>
  <c r="J27" i="6" s="1"/>
  <c r="K27" i="6" s="1"/>
  <c r="H31" i="6"/>
  <c r="I31" i="6" s="1"/>
  <c r="J31" i="6" s="1"/>
  <c r="K31" i="6" s="1"/>
  <c r="H33" i="6"/>
  <c r="I33" i="6" s="1"/>
  <c r="J33" i="6" s="1"/>
  <c r="K33" i="6" s="1"/>
  <c r="H16" i="6"/>
  <c r="I16" i="6" s="1"/>
  <c r="J16" i="6" s="1"/>
  <c r="K16" i="6" s="1"/>
  <c r="AC12" i="6"/>
  <c r="AE12" i="6" s="1"/>
  <c r="H22" i="6"/>
  <c r="I22" i="6" s="1"/>
  <c r="J22" i="6" s="1"/>
  <c r="K22" i="6" s="1"/>
  <c r="AC11" i="6"/>
  <c r="H30" i="6"/>
  <c r="I30" i="6" s="1"/>
  <c r="J30" i="6" s="1"/>
  <c r="K30" i="6" s="1"/>
  <c r="H29" i="6"/>
  <c r="I29" i="6" s="1"/>
  <c r="J29" i="6" s="1"/>
  <c r="K29" i="6" s="1"/>
  <c r="H24" i="6"/>
  <c r="I24" i="6" s="1"/>
  <c r="J24" i="6" s="1"/>
  <c r="K24" i="6" s="1"/>
  <c r="K11" i="6"/>
  <c r="J12" i="6"/>
  <c r="AB13" i="6" l="1"/>
  <c r="AB14" i="6" s="1"/>
  <c r="J37" i="6"/>
  <c r="I37" i="6"/>
  <c r="I38" i="6" s="1"/>
  <c r="L39" i="6" s="1"/>
  <c r="AC13" i="6"/>
  <c r="AE13" i="6" s="1"/>
  <c r="H37" i="6"/>
  <c r="K12" i="6"/>
  <c r="K37" i="6" s="1"/>
  <c r="L40" i="6"/>
  <c r="H117" i="1" s="1"/>
  <c r="AG12" i="6"/>
  <c r="AH13" i="6" s="1"/>
  <c r="AJ12" i="6"/>
  <c r="L11" i="6"/>
  <c r="M11" i="6" s="1"/>
  <c r="AC14" i="6" l="1"/>
  <c r="AE14" i="6" s="1"/>
  <c r="AF13" i="6"/>
  <c r="AJ13" i="6" s="1"/>
  <c r="L41" i="6"/>
  <c r="AF14" i="6"/>
  <c r="AB15" i="6"/>
  <c r="L12" i="6"/>
  <c r="AC15" i="6" l="1"/>
  <c r="AC16" i="6" s="1"/>
  <c r="AG13" i="6"/>
  <c r="AH14" i="6" s="1"/>
  <c r="L13" i="6"/>
  <c r="M12" i="6"/>
  <c r="AF15" i="6"/>
  <c r="AB16" i="6"/>
  <c r="AJ14" i="6"/>
  <c r="AG14" i="6"/>
  <c r="AH15" i="6" s="1"/>
  <c r="AE15" i="6" l="1"/>
  <c r="AE16" i="6"/>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<sst xmlns="http://schemas.openxmlformats.org/spreadsheetml/2006/main" count="15798" uniqueCount="2749">
  <si>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</si>
  <si>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</si>
  <si>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</si>
  <si>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</si>
  <si>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</si>
  <si>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</si>
  <si>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</si>
  <si>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</si>
  <si>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</si>
  <si>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</si>
  <si>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</si>
  <si>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</si>
  <si>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</si>
  <si>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</si>
  <si>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</si>
  <si>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</si>
  <si>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</si>
  <si>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</si>
  <si>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</si>
  <si>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</si>
  <si>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</si>
  <si>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</si>
  <si>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</si>
  <si>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</si>
  <si>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</si>
  <si>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</si>
  <si>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</si>
  <si>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</si>
  <si>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</si>
  <si>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</si>
  <si>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</si>
  <si>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</si>
  <si>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</si>
  <si>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</si>
  <si>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</si>
  <si>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</si>
  <si>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</si>
  <si>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</si>
  <si>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</si>
  <si>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</si>
  <si>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</si>
  <si>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</si>
  <si>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</si>
  <si>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</si>
  <si>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</si>
  <si>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</si>
  <si>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</si>
  <si>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</si>
  <si>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</si>
  <si>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</si>
  <si>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</si>
  <si>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</si>
  <si>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</si>
  <si>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</si>
  <si>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</si>
  <si>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</si>
  <si>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</si>
  <si>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</si>
  <si>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</si>
  <si>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</si>
  <si>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</si>
  <si>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</si>
  <si>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</si>
  <si>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</si>
  <si>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</si>
  <si>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</si>
  <si>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</si>
  <si>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</si>
  <si>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</si>
  <si>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</si>
  <si>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</si>
  <si>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</si>
  <si>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</si>
  <si>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</si>
  <si>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</si>
  <si>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</si>
  <si>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</si>
  <si>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</si>
  <si>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</si>
  <si>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</si>
  <si>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</si>
  <si>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</si>
  <si>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</si>
  <si>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</si>
  <si>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</si>
  <si>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</si>
  <si>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</si>
  <si>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</si>
  <si>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</si>
  <si>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</si>
  <si>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</si>
  <si>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</si>
  <si>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</si>
  <si>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</si>
  <si>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</si>
  <si>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</si>
  <si>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</si>
  <si>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</si>
  <si>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</si>
  <si>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</si>
  <si>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</si>
  <si>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</si>
  <si>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</si>
  <si>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</si>
  <si>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</si>
  <si>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</si>
  <si>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</si>
  <si>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</si>
  <si>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</si>
  <si>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</si>
  <si>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</si>
  <si>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</si>
  <si>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</si>
  <si>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</si>
  <si>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</si>
  <si>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</si>
  <si>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</si>
  <si>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</si>
  <si>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</si>
  <si>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</si>
  <si>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</si>
  <si>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</si>
  <si>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</si>
  <si>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</si>
  <si>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</si>
  <si>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</si>
  <si>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</si>
  <si>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</si>
  <si>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</si>
  <si>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</si>
  <si>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</si>
  <si>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</si>
  <si>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</si>
  <si>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</si>
  <si>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</si>
  <si>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</si>
  <si>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</si>
  <si>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</si>
  <si>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</si>
  <si>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</si>
  <si>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</si>
  <si>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</si>
  <si>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</si>
  <si>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</si>
  <si>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</si>
  <si>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</si>
  <si>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</si>
  <si>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</si>
  <si>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</si>
  <si>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</si>
  <si>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</si>
  <si>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</si>
  <si>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</si>
  <si>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</si>
  <si>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</si>
  <si>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</si>
  <si>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</si>
  <si>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</si>
  <si>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</si>
  <si>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</si>
  <si>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</si>
  <si>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</si>
  <si>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</si>
  <si>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</si>
  <si>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</si>
  <si>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</si>
  <si>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</si>
  <si>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</si>
  <si>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</si>
  <si>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</si>
  <si>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</si>
  <si>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</si>
  <si>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</si>
  <si>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</si>
  <si>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</si>
  <si>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</si>
  <si>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</si>
  <si>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</si>
  <si>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</si>
  <si>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</si>
  <si>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</si>
  <si>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</si>
  <si>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</si>
  <si>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</si>
  <si>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</si>
  <si>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</si>
  <si>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</si>
  <si>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</si>
  <si>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</si>
  <si>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</si>
  <si>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</si>
  <si>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</si>
  <si>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</si>
  <si>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</si>
  <si>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</si>
  <si>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</si>
  <si>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</si>
  <si>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</si>
  <si>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</si>
  <si>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</si>
  <si>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</si>
  <si>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</si>
  <si>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</si>
  <si>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</si>
  <si>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</si>
  <si>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</si>
  <si>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</si>
  <si>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</si>
  <si>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</si>
  <si>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</si>
  <si>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</si>
  <si>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</si>
  <si>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</si>
  <si>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</si>
  <si>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</si>
  <si>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</si>
  <si>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</si>
  <si>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</si>
  <si>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</si>
  <si>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</si>
  <si>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</si>
  <si>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</si>
  <si>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</si>
  <si>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</si>
  <si>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</si>
  <si>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</si>
  <si>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</si>
  <si>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</si>
  <si>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</si>
  <si>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</si>
  <si>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</si>
  <si>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</si>
  <si>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</si>
  <si>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</si>
  <si>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</si>
  <si>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</si>
  <si>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</si>
  <si>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</si>
  <si>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</si>
  <si>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</si>
  <si>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</si>
  <si>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</si>
  <si>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</si>
  <si>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</si>
  <si>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</si>
  <si>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</si>
  <si>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</si>
  <si>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</si>
  <si>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</si>
  <si>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</si>
  <si>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</si>
  <si>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</si>
  <si>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</si>
  <si>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</si>
  <si>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</si>
  <si>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</si>
  <si>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</si>
  <si>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</si>
  <si>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</si>
  <si>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</si>
  <si>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</si>
  <si>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</si>
  <si>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</si>
  <si>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</si>
  <si>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</si>
  <si>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</si>
  <si>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</si>
  <si>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</si>
  <si>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</si>
  <si>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</si>
  <si>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</si>
  <si>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</si>
  <si>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</si>
  <si>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</si>
  <si>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</si>
  <si>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</si>
  <si>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</si>
  <si>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</si>
  <si>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</si>
  <si>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</si>
  <si>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</si>
  <si>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</si>
  <si>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</si>
  <si>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</si>
  <si>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</si>
  <si>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</si>
  <si>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</si>
  <si>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</si>
  <si>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</si>
  <si>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</si>
  <si>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</si>
  <si>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</si>
  <si>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</si>
  <si>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</si>
  <si>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</si>
  <si>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</si>
  <si>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</si>
  <si>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</si>
  <si>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</si>
  <si>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</si>
  <si>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</si>
  <si>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</si>
  <si>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</si>
  <si>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</si>
  <si>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</si>
  <si>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</si>
  <si>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</si>
  <si>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</si>
  <si>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</si>
  <si>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</si>
  <si>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</si>
  <si>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</si>
  <si>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</si>
  <si>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</si>
  <si>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</si>
  <si>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</si>
  <si>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</si>
  <si>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</si>
  <si>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</si>
  <si>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</si>
  <si>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</si>
  <si>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</si>
  <si>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</si>
  <si>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</si>
  <si>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</si>
  <si>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</si>
  <si>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</si>
  <si>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</si>
  <si>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</si>
  <si>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</si>
  <si>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</si>
  <si>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</si>
  <si>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</si>
  <si>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</si>
  <si>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</si>
  <si>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</si>
  <si>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</si>
  <si>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</si>
  <si>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</si>
  <si>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</si>
  <si>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</si>
  <si>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</si>
  <si>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</si>
  <si>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</si>
  <si>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</si>
  <si>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</si>
  <si>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</si>
  <si>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</si>
  <si>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</si>
  <si>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</si>
  <si>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</si>
  <si>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</si>
  <si>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</si>
  <si>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</si>
  <si>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</si>
  <si>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</si>
  <si>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</si>
  <si>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</si>
  <si>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</si>
  <si>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</si>
  <si>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</si>
  <si>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</si>
  <si>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</si>
  <si>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</si>
  <si>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</si>
  <si>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</si>
  <si>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</si>
  <si>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</si>
  <si>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</si>
  <si>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</si>
  <si>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</si>
  <si>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</si>
  <si>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</si>
  <si>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</si>
  <si>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</si>
  <si>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</si>
  <si>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</si>
  <si>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</si>
  <si>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</si>
  <si>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</si>
  <si>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</si>
  <si>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</si>
  <si>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</si>
  <si>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</si>
  <si>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</si>
  <si>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</si>
  <si>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</si>
  <si>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</si>
  <si>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</si>
  <si>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</si>
  <si>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</si>
  <si>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</si>
  <si>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</si>
  <si>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</si>
  <si>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</si>
  <si>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</si>
  <si>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</si>
  <si>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</si>
  <si>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</si>
  <si>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</si>
  <si>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</si>
  <si>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</si>
  <si>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</si>
  <si>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</si>
  <si>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</si>
  <si>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</si>
  <si>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</si>
  <si>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</si>
  <si>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</si>
  <si>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</si>
  <si>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</si>
  <si>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</si>
  <si>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</si>
  <si>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</si>
  <si>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</si>
  <si>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</si>
  <si>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</si>
  <si>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</si>
  <si>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</si>
  <si>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</si>
  <si>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</si>
  <si>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</si>
  <si>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</si>
  <si>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</si>
  <si>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</si>
  <si>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</si>
  <si>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</si>
  <si>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</si>
  <si>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</si>
  <si>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</si>
  <si>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</si>
  <si>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</si>
  <si>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</si>
  <si>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</si>
  <si>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</si>
  <si>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</si>
  <si>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</si>
  <si>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</si>
  <si>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</si>
  <si>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</si>
  <si>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</si>
  <si>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</si>
  <si>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</si>
  <si>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</si>
  <si>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</si>
  <si>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</si>
  <si>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</si>
  <si>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</si>
  <si>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</si>
  <si>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</si>
  <si>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</si>
  <si>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</si>
  <si>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</si>
  <si>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</si>
  <si>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</si>
  <si>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</si>
  <si>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</si>
  <si>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</si>
  <si>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</si>
  <si>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</si>
  <si>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</si>
  <si>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</si>
  <si>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</si>
  <si>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</si>
  <si>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</si>
  <si>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</si>
  <si>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</si>
  <si>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</si>
  <si>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</si>
  <si>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</si>
  <si>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</si>
  <si>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</si>
  <si>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</si>
  <si>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</si>
  <si>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</si>
  <si>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</si>
  <si>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</si>
  <si>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</si>
  <si>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</si>
  <si>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</si>
  <si>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</si>
  <si>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</si>
  <si>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</si>
  <si>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</si>
  <si>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</si>
  <si>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</si>
  <si>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</si>
  <si>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</si>
  <si>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</si>
  <si>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</si>
  <si>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</si>
  <si>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</si>
  <si>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</si>
  <si>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</si>
  <si>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</si>
  <si>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</si>
  <si>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</si>
  <si>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</si>
  <si>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</si>
  <si>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</si>
  <si>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</si>
  <si>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</si>
  <si>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</si>
  <si>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</si>
  <si>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</si>
  <si>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</si>
  <si>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</si>
  <si>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</si>
  <si>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</si>
  <si>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</si>
  <si>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</si>
  <si>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</si>
  <si>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</si>
  <si>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</si>
  <si>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</si>
  <si>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</si>
  <si>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</si>
  <si>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</si>
  <si>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</si>
  <si>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</si>
  <si>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</si>
  <si>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</si>
  <si>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</si>
  <si>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</si>
  <si>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</si>
  <si>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</si>
  <si>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</si>
  <si>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</si>
  <si>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</si>
  <si>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</si>
  <si>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</si>
  <si>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</si>
  <si>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</si>
  <si>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</si>
  <si>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</si>
  <si>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</si>
  <si>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</si>
  <si>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</si>
  <si>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</si>
  <si>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</si>
  <si>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</si>
  <si>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</si>
  <si>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</si>
  <si>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</si>
  <si>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</si>
  <si>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</si>
  <si>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</si>
  <si>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</si>
  <si>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</si>
  <si>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</si>
  <si>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</si>
  <si>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</si>
  <si>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</si>
  <si>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</si>
  <si>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</si>
  <si>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</si>
  <si>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</si>
  <si>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</si>
  <si>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</si>
  <si>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</si>
  <si>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</si>
  <si>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</si>
  <si>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</si>
  <si>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</si>
  <si>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</si>
  <si>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</si>
  <si>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</si>
  <si>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</si>
  <si>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</si>
  <si>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</si>
  <si>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</si>
  <si>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</si>
  <si>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</si>
  <si>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</si>
  <si>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</si>
  <si>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</si>
  <si>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</si>
  <si>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</si>
  <si>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</si>
  <si>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</si>
  <si>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</si>
  <si>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</si>
  <si>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</si>
  <si>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</si>
  <si>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</si>
  <si>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</si>
  <si>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</si>
  <si>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</si>
  <si>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</si>
  <si>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</si>
  <si>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</si>
  <si>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</si>
  <si>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</si>
  <si>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</si>
  <si>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</si>
  <si>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</si>
  <si>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</si>
  <si>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</si>
  <si>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</si>
  <si>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</si>
  <si>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</si>
  <si>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</si>
  <si>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</si>
  <si>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</si>
  <si>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</si>
  <si>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</si>
  <si>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</si>
  <si>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</si>
  <si>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</si>
  <si>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</si>
  <si>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</si>
  <si>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</si>
  <si>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</si>
  <si>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</si>
  <si>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</si>
  <si>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</si>
  <si>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</si>
  <si>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</si>
  <si>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</si>
  <si>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</si>
  <si>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</si>
  <si>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</si>
  <si>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</si>
  <si>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</si>
  <si>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</si>
  <si>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</si>
  <si>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</si>
  <si>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</si>
  <si>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</si>
  <si>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</si>
  <si>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</si>
  <si>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</si>
  <si>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</si>
  <si>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</si>
  <si>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</si>
  <si>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</si>
  <si>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</si>
  <si>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</si>
  <si>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</si>
  <si>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</si>
  <si>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</si>
  <si>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</si>
  <si>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</si>
  <si>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</si>
  <si>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</si>
  <si>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</si>
  <si>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</si>
  <si>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</si>
  <si>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</si>
  <si>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</si>
  <si>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</si>
  <si>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</si>
  <si>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</si>
  <si>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</si>
  <si>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</si>
  <si>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</si>
  <si>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</si>
  <si>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</si>
  <si>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</si>
  <si>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</si>
  <si>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</si>
  <si>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</si>
  <si>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</si>
  <si>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</si>
  <si>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</si>
  <si>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</si>
  <si>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</si>
  <si>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</si>
  <si>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</si>
  <si>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</si>
  <si>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</si>
  <si>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</si>
  <si>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</si>
  <si>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</si>
  <si>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</si>
  <si>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</si>
  <si>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</si>
  <si>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</si>
  <si>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</si>
  <si>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</si>
  <si>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</si>
  <si>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</si>
  <si>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</si>
  <si>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</si>
  <si>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</si>
  <si>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</si>
  <si>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</si>
  <si>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</si>
  <si>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</si>
  <si>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</si>
  <si>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</si>
  <si>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</si>
  <si>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</si>
  <si>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</si>
  <si>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</si>
  <si>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</si>
  <si>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</si>
  <si>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</si>
  <si>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</si>
  <si>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</si>
  <si>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</si>
  <si>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</si>
  <si>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</si>
  <si>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</si>
  <si>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</si>
  <si>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</si>
  <si>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</si>
  <si>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</si>
  <si>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</si>
  <si>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</si>
  <si>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</si>
  <si>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</si>
  <si>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</si>
  <si>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</si>
  <si>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</si>
  <si>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</si>
  <si>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</si>
  <si>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</si>
  <si>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</si>
  <si>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</si>
  <si>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</si>
  <si>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</si>
  <si>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</si>
  <si>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</si>
  <si>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</si>
  <si>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</si>
  <si>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</si>
  <si>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</si>
  <si>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</si>
  <si>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</si>
  <si>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</si>
  <si>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</si>
  <si>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</si>
  <si>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</si>
  <si>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</si>
  <si>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</si>
  <si>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</si>
  <si>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</si>
  <si>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</si>
  <si>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</si>
  <si>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</si>
  <si>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</si>
  <si>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</si>
  <si>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</si>
  <si>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</si>
  <si>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</si>
  <si>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</si>
  <si>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</si>
  <si>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</si>
  <si>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</si>
  <si>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</si>
  <si>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</si>
  <si>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</si>
  <si>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</si>
  <si>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</si>
  <si>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</si>
  <si>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</si>
  <si>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</si>
  <si>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</si>
  <si>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</si>
  <si>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</si>
  <si>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</si>
  <si>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</si>
  <si>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</si>
  <si>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</si>
  <si>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</si>
  <si>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</si>
  <si>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</si>
  <si>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</si>
  <si>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</si>
  <si>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</si>
  <si>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</si>
  <si>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</si>
  <si>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</si>
  <si>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</si>
  <si>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</si>
  <si>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</si>
  <si>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</si>
  <si>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</si>
  <si>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</si>
  <si>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</si>
  <si>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</si>
  <si>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</si>
  <si>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</si>
  <si>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</si>
  <si>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</si>
  <si>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</si>
  <si>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</si>
  <si>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</si>
  <si>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</si>
  <si>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</si>
  <si>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</si>
  <si>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</si>
  <si>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</si>
  <si>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</si>
  <si>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</si>
  <si>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</si>
  <si>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</si>
  <si>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</si>
  <si>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</si>
  <si>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</si>
  <si>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</si>
  <si>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</si>
  <si>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</si>
  <si>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</si>
  <si>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</si>
  <si>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</si>
  <si>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</si>
  <si>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</si>
  <si>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</si>
  <si>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</si>
  <si>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</si>
  <si>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</si>
  <si>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</si>
  <si>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</si>
  <si>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</si>
  <si>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</si>
  <si>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</si>
  <si>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</si>
  <si>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</si>
  <si>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</si>
  <si>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</si>
  <si>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</si>
  <si>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</si>
  <si>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</si>
  <si>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</si>
  <si>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</si>
  <si>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</si>
  <si>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</si>
  <si>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</si>
  <si>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</si>
  <si>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</si>
  <si>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</si>
  <si>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</si>
  <si>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</si>
  <si>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</si>
  <si>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</si>
  <si>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</si>
  <si>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</si>
  <si>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</si>
  <si>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</si>
  <si>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</si>
  <si>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</si>
  <si>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</si>
  <si>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</si>
  <si>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</si>
  <si>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</si>
  <si>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</si>
  <si>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</si>
  <si>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</si>
  <si>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</si>
  <si>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</si>
  <si>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</si>
  <si>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</si>
  <si>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</si>
  <si>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</si>
  <si>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</si>
  <si>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</si>
  <si>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</si>
  <si>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</si>
  <si>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</si>
  <si>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</si>
  <si>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</si>
  <si>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</si>
  <si>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</si>
  <si>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</si>
  <si>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</si>
  <si>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</si>
  <si>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</si>
  <si>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</si>
  <si>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</si>
  <si>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</si>
  <si>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</si>
  <si>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</si>
  <si>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</si>
  <si>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</si>
  <si>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</si>
  <si>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</si>
  <si>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</si>
  <si>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</si>
  <si>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</si>
  <si>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</si>
  <si>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</si>
  <si>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</si>
  <si>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</si>
  <si>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</si>
  <si>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</si>
  <si>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</si>
  <si>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</si>
  <si>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</si>
  <si>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</si>
  <si>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</si>
  <si>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</si>
  <si>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</si>
  <si>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</si>
  <si>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</si>
  <si>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</si>
  <si>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</si>
  <si>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</si>
  <si>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</si>
  <si>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</si>
  <si>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</si>
  <si>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</si>
  <si>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</si>
  <si>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</si>
  <si>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</si>
  <si>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</si>
  <si>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</si>
  <si>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</si>
  <si>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</si>
  <si>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</si>
  <si>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</si>
  <si>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</si>
  <si>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</si>
  <si>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</si>
  <si>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</si>
  <si>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</si>
  <si>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</si>
  <si>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</si>
  <si>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</si>
  <si>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</si>
  <si>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</si>
  <si>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</si>
  <si>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</si>
  <si>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</si>
  <si>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</si>
  <si>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</si>
  <si>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</si>
  <si>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</si>
  <si>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</si>
  <si>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</si>
  <si>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</si>
  <si>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</si>
  <si>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</si>
  <si>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</si>
  <si>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</si>
  <si>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</si>
  <si>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</si>
  <si>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</si>
  <si>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</si>
  <si>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</si>
  <si>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</si>
  <si>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</si>
  <si>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</si>
  <si>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</si>
  <si>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</si>
  <si>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</si>
  <si>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</si>
  <si>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</si>
  <si>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</si>
  <si>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</si>
  <si>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</si>
  <si>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</si>
  <si>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</si>
  <si>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</si>
  <si>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</si>
  <si>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</si>
  <si>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</si>
  <si>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</si>
  <si>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</si>
  <si>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</si>
  <si>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</si>
  <si>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</si>
  <si>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</si>
  <si>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</si>
  <si>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</si>
  <si>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</si>
  <si>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</si>
  <si>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</si>
  <si>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</si>
  <si>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</si>
  <si>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</si>
  <si>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</si>
  <si>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</si>
  <si>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</si>
  <si>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</si>
  <si>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</si>
  <si>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</si>
  <si>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</si>
  <si>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</si>
  <si>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</si>
  <si>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</si>
  <si>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</si>
  <si>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</si>
  <si>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</si>
  <si>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</si>
  <si>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</si>
  <si>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</si>
  <si>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</si>
  <si>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</si>
  <si>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</si>
  <si>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</si>
  <si>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</si>
  <si>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</si>
  <si>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</si>
  <si>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</si>
  <si>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</si>
  <si>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</si>
  <si>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</si>
  <si>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</si>
  <si>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</si>
  <si>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</si>
  <si>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</si>
  <si>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</si>
  <si>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</si>
  <si>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</si>
  <si>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</si>
  <si>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</si>
  <si>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</si>
  <si>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</si>
  <si>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</si>
  <si>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</si>
  <si>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</si>
  <si>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</si>
  <si>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</si>
  <si>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</si>
  <si>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</si>
  <si>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</si>
  <si>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</si>
  <si>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</si>
  <si>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</si>
  <si>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</si>
  <si>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</si>
  <si>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</si>
  <si>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</si>
  <si>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</si>
  <si>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</si>
  <si>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</si>
  <si>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</si>
  <si>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</si>
  <si>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</si>
  <si>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</si>
  <si>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</si>
  <si>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</si>
  <si>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</si>
  <si>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</si>
  <si>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</si>
  <si>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</si>
  <si>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</si>
  <si>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</si>
  <si>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</si>
  <si>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</si>
  <si>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</si>
  <si>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</si>
  <si>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</si>
  <si>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</si>
  <si>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</si>
  <si>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</si>
  <si>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</si>
  <si>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</si>
  <si>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</si>
  <si>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</si>
  <si>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</si>
  <si>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</si>
  <si>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</si>
  <si>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</si>
  <si>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</si>
  <si>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</si>
  <si>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</si>
  <si>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</si>
  <si>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</si>
  <si>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</si>
  <si>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</si>
  <si>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</si>
  <si>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</si>
  <si>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</si>
  <si>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</si>
  <si>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</si>
  <si>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</si>
  <si>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</si>
  <si>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</si>
  <si>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</si>
  <si>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</si>
  <si>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</si>
  <si>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</si>
  <si>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</si>
  <si>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</si>
  <si>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</si>
  <si>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</si>
  <si>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</si>
  <si>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</si>
  <si>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</si>
  <si>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</si>
  <si>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</si>
  <si>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</si>
  <si>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</si>
  <si>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</si>
  <si>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</si>
  <si>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</si>
  <si>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</si>
  <si>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</si>
  <si>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</si>
  <si>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</si>
  <si>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</si>
  <si>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</si>
  <si>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</si>
  <si>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</si>
  <si>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</si>
  <si>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</si>
  <si>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</si>
  <si>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</si>
  <si>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</si>
  <si>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</si>
  <si>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</si>
  <si>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</si>
  <si>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</si>
  <si>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</si>
  <si>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</si>
  <si>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</si>
  <si>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</si>
  <si>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</si>
  <si>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</si>
  <si>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</si>
  <si>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</si>
  <si>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</si>
  <si>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</si>
  <si>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</si>
  <si>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</si>
  <si>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</si>
  <si>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</si>
  <si>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</si>
  <si>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</si>
  <si>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</si>
  <si>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</si>
  <si>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</si>
  <si>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</si>
  <si>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</si>
  <si>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</si>
  <si>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</si>
  <si>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</si>
  <si>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</si>
  <si>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</si>
  <si>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</si>
  <si>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</si>
  <si>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</si>
  <si>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</si>
  <si>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</si>
  <si>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</si>
  <si>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</si>
  <si>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</si>
  <si>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</si>
  <si>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</si>
  <si>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</si>
  <si>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</si>
  <si>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</si>
  <si>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</si>
  <si>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</si>
  <si>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</si>
  <si>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</si>
  <si>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</si>
  <si>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</si>
  <si>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</si>
  <si>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</si>
  <si>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</si>
  <si>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</si>
  <si>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</si>
  <si>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</si>
  <si>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</si>
  <si>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</si>
  <si>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</si>
  <si>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</si>
  <si>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</si>
  <si>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</si>
  <si>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</si>
  <si>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</si>
  <si>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</si>
  <si>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</si>
  <si>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</si>
  <si>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</si>
  <si>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</si>
  <si>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</si>
  <si>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</si>
  <si>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</si>
  <si>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</si>
  <si>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</si>
  <si>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</si>
  <si>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</si>
  <si>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</si>
  <si>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</si>
  <si>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</si>
  <si>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</si>
  <si>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</si>
  <si>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</si>
  <si>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</si>
  <si>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</si>
  <si>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</si>
  <si>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</si>
  <si>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</si>
  <si>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</si>
  <si>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</si>
  <si>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</si>
  <si>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</si>
  <si>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</si>
  <si>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</si>
  <si>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</si>
  <si>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</si>
  <si>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</si>
  <si>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</si>
  <si>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</si>
  <si>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</si>
  <si>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</si>
  <si>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</si>
  <si>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</si>
  <si>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</si>
  <si>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</si>
  <si>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</si>
  <si>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</si>
  <si>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</si>
  <si>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</si>
  <si>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</si>
  <si>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</si>
  <si>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</si>
  <si>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</si>
  <si>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</si>
  <si>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</si>
  <si>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</si>
  <si>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</si>
  <si>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</si>
  <si>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</si>
  <si>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</si>
  <si>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</si>
  <si>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</si>
  <si>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</si>
  <si>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</si>
  <si>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</si>
  <si>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</si>
  <si>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</si>
  <si>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</si>
  <si>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</si>
  <si>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</si>
  <si>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</si>
  <si>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</si>
  <si>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</si>
  <si>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</si>
  <si>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</si>
  <si>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</si>
  <si>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</si>
  <si>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</si>
  <si>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</si>
  <si>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</si>
  <si>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</si>
  <si>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</si>
  <si>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</si>
  <si>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</si>
  <si>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</si>
  <si>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</si>
  <si>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</si>
  <si>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</si>
  <si>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</si>
  <si>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</si>
  <si>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</si>
  <si>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</si>
  <si>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</si>
  <si>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</si>
  <si>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</si>
  <si>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</si>
  <si>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</si>
  <si>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</si>
  <si>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</si>
  <si>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</si>
  <si>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</si>
  <si>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</si>
  <si>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</si>
  <si>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</si>
  <si>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</si>
  <si>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</si>
  <si>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</si>
  <si>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</si>
  <si>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</si>
  <si>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</si>
  <si>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</si>
  <si>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</si>
  <si>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</si>
  <si>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</si>
  <si>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</si>
  <si>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</si>
  <si>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</si>
  <si>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</si>
  <si>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</si>
  <si>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</si>
  <si>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</si>
  <si>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</si>
  <si>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</si>
  <si>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</si>
  <si>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</si>
  <si>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</si>
  <si>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</si>
  <si>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</si>
  <si>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</si>
  <si>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</si>
  <si>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</si>
  <si>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</si>
  <si>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</si>
  <si>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</si>
  <si>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</si>
  <si>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</si>
  <si>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</si>
  <si>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</si>
  <si>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</si>
  <si>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</si>
  <si>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</si>
  <si>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</si>
  <si>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</si>
  <si>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</si>
  <si>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</si>
  <si>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</si>
  <si>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</si>
  <si>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</si>
  <si>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</si>
  <si>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</si>
  <si>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</si>
  <si>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</si>
  <si>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</si>
  <si>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</si>
  <si>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</si>
  <si>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</si>
  <si>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</si>
  <si>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</si>
  <si>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</si>
  <si>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</si>
  <si>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</si>
  <si>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</si>
  <si>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</si>
  <si>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</si>
  <si>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</si>
  <si>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</si>
  <si>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</si>
  <si>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</si>
  <si>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</si>
  <si>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</si>
  <si>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</si>
  <si>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</si>
  <si>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</si>
  <si>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</si>
  <si>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</si>
  <si>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</si>
  <si>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</si>
  <si>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</si>
  <si>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</si>
  <si>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</si>
  <si>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</si>
  <si>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</si>
  <si>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</si>
  <si>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</si>
  <si>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</si>
  <si>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</si>
  <si>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</si>
  <si>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</si>
  <si>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</si>
  <si>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</si>
  <si>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</si>
  <si>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</si>
  <si>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</si>
  <si>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</si>
  <si>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</si>
  <si>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</si>
  <si>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</si>
  <si>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</si>
  <si>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</si>
  <si>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</si>
  <si>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</si>
  <si>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</si>
  <si>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</si>
  <si>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</si>
  <si>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</si>
  <si>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</si>
  <si>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</si>
  <si>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</si>
  <si>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</si>
  <si>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</si>
  <si>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</si>
  <si>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</si>
  <si>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</si>
  <si>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</si>
  <si>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</si>
  <si>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</si>
  <si>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</si>
  <si>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</si>
  <si>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</si>
  <si>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</si>
  <si>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</si>
  <si>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</si>
  <si>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</si>
  <si>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</si>
  <si>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</si>
  <si>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</si>
  <si>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</si>
  <si>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</si>
  <si>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</si>
  <si>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</si>
  <si>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</si>
  <si>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</si>
  <si>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</si>
  <si>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</si>
  <si>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</si>
  <si>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</si>
  <si>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</si>
  <si>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</si>
  <si>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</si>
  <si>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</si>
  <si>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</si>
  <si>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</si>
  <si>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</si>
  <si>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</si>
  <si>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</si>
  <si>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</si>
  <si>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</si>
  <si>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</si>
  <si>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</si>
  <si>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</si>
  <si>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</si>
  <si>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</si>
  <si>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</si>
  <si>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</si>
  <si>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</si>
  <si>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</si>
  <si>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</si>
  <si>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</si>
  <si>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</si>
  <si>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</si>
  <si>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</si>
  <si>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</si>
  <si>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</si>
  <si>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</si>
  <si>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</si>
  <si>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</si>
  <si>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</si>
  <si>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</si>
  <si>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</si>
  <si>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</si>
  <si>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</si>
  <si>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</si>
  <si>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</si>
  <si>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</si>
  <si>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</si>
  <si>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</si>
  <si>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</si>
  <si>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</si>
  <si>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</si>
  <si>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</si>
  <si>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</si>
  <si>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</si>
  <si>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</si>
  <si>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</si>
  <si>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</si>
  <si>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</si>
  <si>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</si>
  <si>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</si>
  <si>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</si>
  <si>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</si>
  <si>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</si>
  <si>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</si>
  <si>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</si>
  <si>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</si>
  <si>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</si>
  <si>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</si>
  <si>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</si>
  <si>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</si>
  <si>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</si>
  <si>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</si>
  <si>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</si>
  <si>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</si>
  <si>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</si>
  <si>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</si>
  <si>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</si>
  <si>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</si>
  <si>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</si>
  <si>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</si>
  <si>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</si>
  <si>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</si>
  <si>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</si>
  <si>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</si>
  <si>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</si>
  <si>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</si>
  <si>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</si>
  <si>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</si>
  <si>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</si>
  <si>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</si>
  <si>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</si>
  <si>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</si>
  <si>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</si>
  <si>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</si>
  <si>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</si>
  <si>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</si>
  <si>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</si>
  <si>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</si>
  <si>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</si>
  <si>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</si>
  <si>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</si>
  <si>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</si>
  <si>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</si>
  <si>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</si>
  <si>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</si>
  <si>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</si>
  <si>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</si>
  <si>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</si>
  <si>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</si>
  <si>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</si>
  <si>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</si>
  <si>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</si>
  <si>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</si>
  <si>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</si>
  <si>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</si>
  <si>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</si>
  <si>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</si>
  <si>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</si>
  <si>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</si>
  <si>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</si>
  <si>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</si>
  <si>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</si>
  <si>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</si>
  <si>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</si>
  <si>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</si>
  <si>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</si>
  <si>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</si>
  <si>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</si>
  <si>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</si>
  <si>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</si>
  <si>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</si>
  <si>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</si>
  <si>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</si>
  <si>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</si>
  <si>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</si>
  <si>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</si>
  <si>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</si>
  <si>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</si>
  <si>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</si>
  <si>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</si>
  <si>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</si>
  <si>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</si>
  <si>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</si>
  <si>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</si>
  <si>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</si>
  <si>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</si>
  <si>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</si>
  <si>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</si>
  <si>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</si>
  <si>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</si>
  <si>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</si>
  <si>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</si>
  <si>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</si>
  <si>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</si>
  <si>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</si>
  <si>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</si>
  <si>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</si>
  <si>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</si>
  <si>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</si>
  <si>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</si>
  <si>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</si>
  <si>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</si>
  <si>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</si>
  <si>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</si>
  <si>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</si>
  <si>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</si>
  <si>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</si>
  <si>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</si>
  <si>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</si>
  <si>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</si>
  <si>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</si>
  <si>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</si>
  <si>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</si>
  <si>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</si>
  <si>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</si>
  <si>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</si>
  <si>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</si>
  <si>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</si>
  <si>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</si>
  <si>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</si>
  <si>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</si>
  <si>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</si>
  <si>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</si>
  <si>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</si>
  <si>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</si>
  <si>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</si>
  <si>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</si>
  <si>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</si>
  <si>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</si>
  <si>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</si>
  <si>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</si>
  <si>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</si>
  <si>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</si>
  <si>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</si>
  <si>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</si>
  <si>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</si>
  <si>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</si>
  <si>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</si>
  <si>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</si>
  <si>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</si>
  <si>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</si>
  <si>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</si>
  <si>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</si>
  <si>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</si>
  <si>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</si>
  <si>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</si>
  <si>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</si>
  <si>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</si>
  <si>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</si>
  <si>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</si>
  <si>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</si>
  <si>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</si>
  <si>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</si>
  <si>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</si>
  <si>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</si>
  <si>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</si>
  <si>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</si>
  <si>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</si>
  <si>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</si>
  <si>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</si>
  <si>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</si>
  <si>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</si>
  <si>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</si>
  <si>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</si>
  <si>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</si>
  <si>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</si>
  <si>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</si>
  <si>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</si>
  <si>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</si>
  <si>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</si>
  <si>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</si>
  <si>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</si>
  <si>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</si>
  <si>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</si>
  <si>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</si>
  <si>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</si>
  <si>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</si>
  <si>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</si>
  <si>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</si>
  <si>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</si>
  <si>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</si>
  <si>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</si>
  <si>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</si>
  <si>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</si>
  <si>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</si>
  <si>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</si>
  <si>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</si>
  <si>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</si>
  <si>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</si>
  <si>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</si>
  <si>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</si>
  <si>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</si>
  <si>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</si>
  <si>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</si>
  <si>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</si>
  <si>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</si>
  <si>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</si>
  <si>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</si>
  <si>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</si>
  <si>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</si>
  <si>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</si>
  <si>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</si>
  <si>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</si>
  <si>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</si>
  <si>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</si>
  <si>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</si>
  <si>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</si>
  <si>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</si>
  <si>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</si>
  <si>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</si>
  <si>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</si>
  <si>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</si>
  <si>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</si>
  <si>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</si>
  <si>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</si>
  <si>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</si>
  <si>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</si>
  <si>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</si>
  <si>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</si>
  <si>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</si>
  <si>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</si>
  <si>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</si>
  <si>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</si>
  <si>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</si>
  <si>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</si>
  <si>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</si>
  <si>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</si>
  <si>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</si>
  <si>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</si>
  <si>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</si>
  <si>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</si>
  <si>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</si>
  <si>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</si>
  <si>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</si>
  <si>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</si>
  <si>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</si>
  <si>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</si>
  <si>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</si>
  <si>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</si>
  <si>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</si>
  <si>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</si>
  <si>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</si>
  <si>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</si>
  <si>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</si>
  <si>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</si>
  <si>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</si>
  <si>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</si>
  <si>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</si>
  <si>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</si>
  <si>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</si>
  <si>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</si>
  <si>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</si>
  <si>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</si>
  <si>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</si>
  <si>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</si>
  <si>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</si>
  <si>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</si>
  <si>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</si>
  <si>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</si>
  <si>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</si>
  <si>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</si>
  <si>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</si>
  <si>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</si>
  <si>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</si>
  <si>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</si>
  <si>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</si>
  <si>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</si>
  <si>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</si>
  <si>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</si>
  <si>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</si>
  <si>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</si>
  <si>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</si>
  <si>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</si>
  <si>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</si>
  <si>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</si>
  <si>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</si>
  <si>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</si>
  <si>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</si>
  <si>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</si>
  <si>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</si>
  <si>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</si>
  <si>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</si>
  <si>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</si>
  <si>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</si>
  <si>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</si>
  <si>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</si>
  <si>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</si>
  <si>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</si>
  <si>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</si>
  <si>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</si>
  <si>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</si>
  <si>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</si>
  <si>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</si>
  <si>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</si>
  <si>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</si>
  <si>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</si>
  <si>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</si>
  <si>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</si>
  <si>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</si>
  <si>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</si>
  <si>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</si>
  <si>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</si>
  <si>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</si>
  <si>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</si>
  <si>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</si>
  <si>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</si>
  <si>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</si>
  <si>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</si>
  <si>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</si>
  <si>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</si>
  <si>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</si>
  <si>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</si>
  <si>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</si>
  <si>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</si>
  <si>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</si>
  <si>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</si>
  <si>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</si>
  <si>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</si>
  <si>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</si>
  <si>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</si>
  <si>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</si>
  <si>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</si>
  <si>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</si>
  <si>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</si>
  <si>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</si>
  <si>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</si>
  <si>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</si>
  <si>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</si>
  <si>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</si>
  <si>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</si>
  <si>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</si>
  <si>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</si>
  <si>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</si>
  <si>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</si>
  <si>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</si>
  <si>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</si>
  <si>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</si>
  <si>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</si>
  <si>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</si>
  <si>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</si>
  <si>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</si>
  <si>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</si>
  <si>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</si>
  <si>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</si>
  <si>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</si>
  <si>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</si>
  <si>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</si>
  <si>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</si>
  <si>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</si>
  <si>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</si>
  <si>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</si>
  <si>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</si>
  <si>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</si>
  <si>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</si>
  <si>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</si>
  <si>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</si>
  <si>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</si>
  <si>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</si>
  <si>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</si>
  <si>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</si>
  <si>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</si>
  <si>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</si>
  <si>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</si>
  <si>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</si>
  <si>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</si>
  <si>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</si>
  <si>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</si>
  <si>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</si>
  <si>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</si>
  <si>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</si>
  <si>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</si>
  <si>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</si>
  <si>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</si>
  <si>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</si>
  <si>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</si>
  <si>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</si>
  <si>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</si>
  <si>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</si>
  <si>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</si>
  <si>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</si>
  <si>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</si>
  <si>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</si>
  <si>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</si>
  <si>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</si>
  <si>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</si>
  <si>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</si>
  <si>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</si>
  <si>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</si>
  <si>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</si>
  <si>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</si>
  <si>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</si>
  <si>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</si>
  <si>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</si>
  <si>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</si>
  <si>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</si>
  <si>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</si>
  <si>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</si>
  <si>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</si>
  <si>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</si>
  <si>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</si>
  <si>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</si>
  <si>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</si>
  <si>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</si>
  <si>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</si>
  <si>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</si>
  <si>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</si>
  <si>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</si>
  <si>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</si>
  <si>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</si>
  <si>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</si>
  <si>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</si>
  <si>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</si>
  <si>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</si>
  <si>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</si>
  <si>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</si>
  <si>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</si>
  <si>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</si>
  <si>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</si>
  <si>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</si>
  <si>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</si>
  <si>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</si>
  <si>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</si>
  <si>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</si>
  <si>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</si>
  <si>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</si>
  <si>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</si>
  <si>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</si>
  <si>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</si>
  <si>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</si>
  <si>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</si>
  <si>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</si>
  <si>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</si>
  <si>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</si>
  <si>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</si>
  <si>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</si>
  <si>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</si>
  <si>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</si>
  <si>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</si>
  <si>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</si>
  <si>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</si>
  <si>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</si>
  <si>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</si>
  <si>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</si>
  <si>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</si>
  <si>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</si>
  <si>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</si>
  <si>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</si>
  <si>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</si>
  <si>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</si>
  <si>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</si>
  <si>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</si>
  <si>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</si>
  <si>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</si>
  <si>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</si>
  <si>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</si>
  <si>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</si>
  <si>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</si>
  <si>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</si>
  <si>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</si>
  <si>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</si>
  <si>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</si>
  <si>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</si>
  <si>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</si>
  <si>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</si>
  <si>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</si>
  <si>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</si>
  <si>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</si>
  <si>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</si>
  <si>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</si>
  <si>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</si>
  <si>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</si>
  <si>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</si>
  <si>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</si>
  <si>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</si>
  <si>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</si>
  <si>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</si>
  <si>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</si>
  <si>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</si>
  <si>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</si>
  <si>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</si>
  <si>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</si>
  <si>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</si>
  <si>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</si>
  <si>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</si>
  <si>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</si>
  <si>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</si>
  <si>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</si>
  <si>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</si>
  <si>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</si>
  <si>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</si>
  <si>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</si>
  <si>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</si>
  <si>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</si>
  <si>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</si>
  <si>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</si>
  <si>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</si>
  <si>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</si>
  <si>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</si>
  <si>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</si>
  <si>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</si>
  <si>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</si>
  <si>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</si>
  <si>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</si>
  <si>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</si>
  <si>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</si>
  <si>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</si>
  <si>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</si>
  <si>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</si>
  <si>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</si>
  <si>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</si>
  <si>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</si>
  <si>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</si>
  <si>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</si>
  <si>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</si>
  <si>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</si>
  <si>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</si>
  <si>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</si>
  <si>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</si>
  <si>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</si>
  <si>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</si>
  <si>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</si>
  <si>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</si>
  <si>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</si>
  <si>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</si>
  <si>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</si>
  <si>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</si>
  <si>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</si>
  <si>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</si>
  <si>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</si>
  <si>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</si>
  <si>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</si>
  <si>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</si>
  <si>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</si>
  <si>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</si>
  <si>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</si>
  <si>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</si>
  <si>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</si>
  <si>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</si>
  <si>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</si>
  <si>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</si>
  <si>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</si>
  <si>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</si>
  <si>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</si>
  <si>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</si>
  <si>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</si>
  <si>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</si>
  <si>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</si>
  <si>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</si>
  <si>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</si>
  <si>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</si>
  <si>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</si>
  <si>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</si>
  <si>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</si>
  <si>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</si>
  <si>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</si>
  <si>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</si>
  <si>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</si>
  <si>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</si>
  <si>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</si>
  <si>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</si>
  <si>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</si>
  <si>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</si>
  <si>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</si>
  <si>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</si>
  <si>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</si>
  <si>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</si>
  <si>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</si>
  <si>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</si>
  <si>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</si>
  <si>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</si>
  <si>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</si>
  <si>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</si>
  <si>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</si>
  <si>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</si>
  <si>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</si>
  <si>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</si>
  <si>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</si>
  <si>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</si>
  <si>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</si>
  <si>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</si>
  <si>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</si>
  <si>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</si>
  <si>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</si>
  <si>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</si>
  <si>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</si>
  <si>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</si>
  <si>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</si>
  <si>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</si>
  <si>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</si>
  <si>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</si>
  <si>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</si>
  <si>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</si>
  <si>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</si>
  <si>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</si>
  <si>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</si>
  <si>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</si>
  <si>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</si>
  <si>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</si>
  <si>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</si>
  <si>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</si>
  <si>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</si>
  <si>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</si>
  <si>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</si>
  <si>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</si>
  <si>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</si>
  <si>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</si>
  <si>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</si>
  <si>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</si>
  <si>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</si>
  <si>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</si>
  <si>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</si>
  <si>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</si>
  <si>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</si>
  <si>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</si>
  <si>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</si>
  <si>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</si>
  <si>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</si>
  <si>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</si>
  <si>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</si>
  <si>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</si>
  <si>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</si>
  <si>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</si>
  <si>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</si>
  <si>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</si>
  <si>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</si>
  <si>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</si>
  <si>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</si>
  <si>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</si>
  <si>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</si>
  <si>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</si>
  <si>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</si>
  <si>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</si>
  <si>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</si>
  <si>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</si>
  <si>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</si>
  <si>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</si>
  <si>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</si>
  <si>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</si>
  <si>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</si>
  <si>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</si>
  <si>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</si>
  <si>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</si>
  <si>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</si>
  <si>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</si>
  <si>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</si>
  <si>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</si>
  <si>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</si>
  <si>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</si>
  <si>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</si>
  <si>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</si>
  <si>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</si>
  <si>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</si>
  <si>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</si>
  <si>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</si>
  <si>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</si>
  <si>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</si>
  <si>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</si>
  <si>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</si>
  <si>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</si>
  <si>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</si>
  <si>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</si>
  <si>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</si>
  <si>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</si>
  <si>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</si>
  <si>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</si>
  <si>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</si>
  <si>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</si>
  <si>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</si>
  <si>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</si>
  <si>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</si>
  <si>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</si>
  <si>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</si>
  <si>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</si>
  <si>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</si>
  <si>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</si>
  <si>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</si>
  <si>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</si>
  <si>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</si>
  <si>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</si>
  <si>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</si>
  <si>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</si>
  <si>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</si>
  <si>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</si>
  <si>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</si>
  <si>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</si>
  <si>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</si>
  <si>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</si>
  <si>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</si>
  <si>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</si>
  <si>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</si>
  <si>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</si>
  <si>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</si>
  <si>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</si>
  <si>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</si>
  <si>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</si>
  <si>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</si>
  <si>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</si>
  <si>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</si>
  <si>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</si>
  <si>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</si>
  <si>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</si>
  <si>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</si>
  <si>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</si>
  <si>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</si>
  <si>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</si>
  <si>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</si>
  <si>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</si>
  <si>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</si>
  <si>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</si>
  <si>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</si>
  <si>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</si>
  <si>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</si>
  <si>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</si>
  <si>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</si>
  <si>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</si>
  <si>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</si>
  <si>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</si>
  <si>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</si>
  <si>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</si>
  <si>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</si>
  <si>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</si>
  <si>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</si>
  <si>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</si>
  <si>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</si>
  <si>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</si>
  <si>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</si>
  <si>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</si>
  <si>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</si>
  <si>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</si>
  <si>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</si>
  <si>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</si>
  <si>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</si>
  <si>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</si>
  <si>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</si>
  <si>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</si>
  <si>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</si>
  <si>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</si>
  <si>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</si>
  <si>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</si>
  <si>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</si>
  <si>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</si>
  <si>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</si>
  <si>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</si>
  <si>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</si>
  <si>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</si>
  <si>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</si>
  <si>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</si>
  <si>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</si>
  <si>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</si>
  <si>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</si>
  <si>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</si>
  <si>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</si>
  <si>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</si>
  <si>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</si>
  <si>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</si>
  <si>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</si>
  <si>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</si>
  <si>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</si>
  <si>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</si>
  <si>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</si>
  <si>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</si>
  <si>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</si>
  <si>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</si>
  <si>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</si>
  <si>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</si>
  <si>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</si>
  <si>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</si>
  <si>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</si>
  <si>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</si>
  <si>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</si>
  <si>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</si>
  <si>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</si>
  <si>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</si>
  <si>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</si>
  <si>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</si>
  <si>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</si>
  <si>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</si>
  <si>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</si>
  <si>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</si>
  <si>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</si>
  <si>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</si>
  <si>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</si>
  <si>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</si>
  <si>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</si>
  <si>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</si>
  <si>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</si>
  <si>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</si>
  <si>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</si>
  <si>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</si>
  <si>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</si>
  <si>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</si>
  <si>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</si>
  <si>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</si>
  <si>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</si>
  <si>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</si>
  <si>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</si>
  <si>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</si>
  <si>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</si>
  <si>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</si>
  <si>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</si>
  <si>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</si>
  <si>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</si>
  <si>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</si>
  <si>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</si>
  <si>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</si>
  <si>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</si>
  <si>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</si>
  <si>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</si>
  <si>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</si>
  <si>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</si>
  <si>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</si>
  <si>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</si>
  <si>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</si>
  <si>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</si>
  <si>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</si>
  <si>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</si>
  <si>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</si>
  <si>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</si>
  <si>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</si>
  <si>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</si>
  <si>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</si>
  <si>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</si>
  <si>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</si>
  <si>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</si>
  <si>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</si>
  <si>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</si>
  <si>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</si>
  <si>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</si>
  <si>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</si>
  <si>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</si>
  <si>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</si>
  <si>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</si>
  <si>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</si>
  <si>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</si>
  <si>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</si>
  <si>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</si>
  <si>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</si>
  <si>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</si>
  <si>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</si>
  <si>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</si>
  <si>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</si>
  <si>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</si>
  <si>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</si>
  <si>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</si>
  <si>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</si>
  <si>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</si>
  <si>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</si>
  <si>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</si>
  <si>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</si>
  <si>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</si>
  <si>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</si>
  <si>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</si>
  <si>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</si>
  <si>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</si>
  <si>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</si>
  <si>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</si>
  <si>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</si>
  <si>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</si>
  <si>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</si>
  <si>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</si>
  <si>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</si>
  <si>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</si>
  <si>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</si>
  <si>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</si>
  <si>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</si>
  <si>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</si>
  <si>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</si>
  <si>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</si>
  <si>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</si>
  <si>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</si>
  <si>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</si>
  <si>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</si>
  <si>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</si>
  <si>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</si>
  <si>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</si>
  <si>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</si>
  <si>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</si>
  <si>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</si>
  <si>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</si>
  <si>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</si>
  <si>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</si>
  <si>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</si>
  <si>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</si>
  <si>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</si>
  <si>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</si>
  <si>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</si>
  <si>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</si>
  <si>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</si>
  <si>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</si>
  <si>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</si>
  <si>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</si>
  <si>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</si>
  <si>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</si>
  <si>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</si>
  <si>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</si>
  <si>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</si>
  <si>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</si>
  <si>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</si>
  <si>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</si>
  <si>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</si>
  <si>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</si>
  <si>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</si>
  <si>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</si>
  <si>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</si>
  <si>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</si>
  <si>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</si>
  <si>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</si>
  <si>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</si>
  <si>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</si>
  <si>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</si>
  <si>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</si>
  <si>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</si>
  <si>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</si>
  <si>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</si>
  <si>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</si>
  <si>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</si>
  <si>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</si>
  <si>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</si>
  <si>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</si>
  <si>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</si>
  <si>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</si>
  <si>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</si>
  <si>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</si>
  <si>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</si>
  <si>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</si>
  <si>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</si>
  <si>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</si>
  <si>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</si>
  <si>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</si>
  <si>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</si>
  <si>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</si>
  <si>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</si>
  <si>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</si>
  <si>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</si>
  <si>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</si>
  <si>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</si>
  <si>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</si>
  <si>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</si>
  <si>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</si>
  <si>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</si>
  <si>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</si>
  <si>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</si>
  <si>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</si>
  <si>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</si>
  <si>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</si>
  <si>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</si>
  <si>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</si>
  <si>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</si>
  <si>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</si>
  <si>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</si>
  <si>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</si>
  <si>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</si>
  <si>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</si>
  <si>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</si>
  <si>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</si>
  <si>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</si>
  <si>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</si>
  <si>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</si>
  <si>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</si>
  <si>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</si>
  <si>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</si>
  <si>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</si>
  <si>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</si>
  <si>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</si>
  <si>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</si>
  <si>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</si>
  <si>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</si>
  <si>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</si>
  <si>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</si>
  <si>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</si>
  <si>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</si>
  <si>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</si>
  <si>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</si>
  <si>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</si>
  <si>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</si>
  <si>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</si>
  <si>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</si>
  <si>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</si>
  <si>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</si>
  <si>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</si>
  <si>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</si>
  <si>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</si>
  <si>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</si>
  <si>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</si>
  <si>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</si>
  <si>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</si>
  <si>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</si>
  <si>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</si>
  <si>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</si>
  <si>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</si>
  <si>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</si>
  <si>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</si>
  <si>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</si>
  <si>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</si>
  <si>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</si>
  <si>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</si>
  <si>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</si>
  <si>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</si>
  <si>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</si>
  <si>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</si>
  <si>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</si>
  <si>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</si>
  <si>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</si>
  <si>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</si>
  <si>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</si>
  <si>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</si>
  <si>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</si>
  <si>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</si>
  <si>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</si>
  <si>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</si>
  <si>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</si>
  <si>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</si>
  <si>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</si>
  <si>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</si>
  <si>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</si>
  <si>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</si>
  <si>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</si>
  <si>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</si>
  <si>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</si>
  <si>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</si>
  <si>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</si>
  <si>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</si>
  <si>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</si>
  <si>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</si>
  <si>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</si>
  <si>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</si>
  <si>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</si>
  <si>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</si>
  <si>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</si>
  <si>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</si>
  <si>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</si>
  <si>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</si>
  <si>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</si>
  <si>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</si>
  <si>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</si>
  <si>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</si>
  <si>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</si>
  <si>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</si>
  <si>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</si>
  <si>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</si>
  <si>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</si>
  <si>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</si>
  <si>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</si>
  <si>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</si>
  <si>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</si>
  <si>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</si>
  <si>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</si>
  <si>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</si>
  <si>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</si>
  <si>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</si>
  <si>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</si>
  <si>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</si>
  <si>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</si>
  <si>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</si>
  <si>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</si>
  <si>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</si>
  <si>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</si>
  <si>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</si>
  <si>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</si>
  <si>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</si>
  <si>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</si>
  <si>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</si>
  <si>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</si>
  <si>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</si>
  <si>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</si>
  <si>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</si>
  <si>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</si>
  <si>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</si>
  <si>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</si>
  <si>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</si>
  <si>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</si>
  <si>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</si>
  <si>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</si>
  <si>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</si>
  <si>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</si>
  <si>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</si>
  <si>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</si>
  <si>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</si>
  <si>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</si>
  <si>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</si>
  <si>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</si>
  <si>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</si>
  <si>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</si>
  <si>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</si>
  <si>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</si>
  <si>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</si>
  <si>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</si>
  <si>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</si>
  <si>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</si>
  <si>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</si>
  <si>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</si>
  <si>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</si>
  <si>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</si>
  <si>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</si>
  <si>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</si>
  <si>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</si>
  <si>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</si>
  <si>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</si>
  <si>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</si>
  <si>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</si>
  <si>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</si>
  <si>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</si>
  <si>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</si>
  <si>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</si>
  <si>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</si>
  <si>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</si>
  <si>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</si>
  <si>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</si>
  <si>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</si>
  <si>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</si>
  <si>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</si>
  <si>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</si>
  <si>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</si>
  <si>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</si>
  <si>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</si>
  <si>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</si>
  <si>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</si>
  <si>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</si>
  <si>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</si>
  <si>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</si>
  <si>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</si>
  <si>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</si>
  <si>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</si>
  <si>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</si>
  <si>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</si>
  <si>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</si>
  <si>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</si>
  <si>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</si>
  <si>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</si>
  <si>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</si>
  <si>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</si>
  <si>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</si>
  <si>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</si>
  <si>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</si>
  <si>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</si>
  <si>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</si>
  <si>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</si>
  <si>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</si>
  <si>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</si>
  <si>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</si>
  <si>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</si>
  <si>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</si>
  <si>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</si>
  <si>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</si>
  <si>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</si>
  <si>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</si>
  <si>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</si>
  <si>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</si>
  <si>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</si>
  <si>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</si>
  <si>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</si>
  <si>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</si>
  <si>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Modulfläche:</t>
  </si>
  <si>
    <t>Bund</t>
  </si>
  <si>
    <t>Gesamt</t>
  </si>
  <si>
    <t>maxförderung 40%</t>
  </si>
  <si>
    <t>Faktor bund</t>
  </si>
  <si>
    <t>Faktor land</t>
  </si>
  <si>
    <t>8. Übersicht über die jährlichen Einnahmen (Barwerte)</t>
  </si>
  <si>
    <t>Energie:</t>
  </si>
  <si>
    <t>Kosten:</t>
  </si>
  <si>
    <t>Volleinspeisung</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</si>
  <si>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</si>
  <si>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</si>
  <si>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</si>
  <si>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</si>
  <si>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</si>
  <si>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</si>
  <si>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</si>
  <si>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</si>
  <si>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</si>
  <si>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</si>
  <si>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</si>
  <si>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</si>
  <si>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</si>
  <si>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</si>
  <si>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</si>
  <si>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</si>
  <si>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</si>
  <si>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</si>
  <si>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</si>
  <si>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</si>
  <si>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</si>
  <si>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</si>
  <si>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</si>
  <si>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</si>
  <si>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</si>
  <si>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</si>
  <si>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</si>
  <si>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</si>
  <si>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</si>
  <si>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</si>
  <si>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</si>
  <si>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</si>
  <si>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</si>
  <si>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</si>
  <si>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</si>
  <si>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</si>
  <si>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</si>
  <si>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</si>
  <si>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</si>
  <si>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</si>
  <si>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</si>
  <si>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</si>
  <si>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</si>
  <si>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</si>
  <si>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</si>
  <si>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</si>
  <si>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</si>
  <si>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</si>
  <si>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</si>
  <si>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</si>
  <si>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</si>
  <si>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</si>
  <si>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</si>
  <si>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</si>
  <si>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</si>
  <si>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</si>
  <si>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</si>
  <si>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</si>
  <si>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</si>
  <si>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</si>
  <si>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</si>
  <si>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</si>
  <si>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</si>
  <si>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</si>
  <si>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</si>
  <si>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</si>
  <si>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</si>
  <si>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</si>
  <si>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</si>
  <si>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</si>
  <si>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</si>
  <si>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</si>
  <si>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</si>
  <si>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</si>
  <si>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</si>
  <si>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</si>
  <si>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</si>
  <si>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</si>
  <si>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</si>
  <si>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</si>
  <si>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</si>
  <si>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</si>
  <si>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</si>
  <si>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</si>
  <si>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</si>
  <si>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</si>
  <si>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</si>
  <si>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</si>
  <si>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</si>
  <si>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</si>
  <si>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</si>
  <si>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</si>
  <si>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Zur Homepage:</t>
  </si>
  <si>
    <t>Nähere Informationen zur PV-Förderung (Private):</t>
  </si>
  <si>
    <t>Klima- und Energiefonds Förderaktion Photovoltaik-Anlagen 2017</t>
  </si>
  <si>
    <t>Eine mögliche Förderung wird hier nach Bekanntgabe veröffentlicht.</t>
  </si>
  <si>
    <t>https://www.wien.gv.at/amtshelfer/bauen-wohnen/energie/alternativenergie/oekostromanlagen.html</t>
  </si>
  <si>
    <t>Förderprogramm im Zuge der Wohnbauförderung (Link im Register "Förderungen")</t>
  </si>
  <si>
    <t>Nähere Informationen zur Speicher-Förderung (Private):</t>
  </si>
  <si>
    <t>*</t>
  </si>
  <si>
    <t>Förderspanne 1-15 kWp; Förderprogramm Photovoltaik (private) und Speicher (Link im Register "Förderungen")</t>
  </si>
  <si>
    <t>http://www.energieinstitut.at/tools/susi/</t>
  </si>
  <si>
    <t>Hilfestellung - Abschätzung des Eigenverbrauchs:</t>
  </si>
  <si>
    <t>Investitionsförderung - Bund</t>
  </si>
  <si>
    <t>aktualisiert und ergänzt in Kooperation mit LINZ STROM GAS WÄRME GmbH</t>
  </si>
  <si>
    <t>https://www.wien.gv.at/amtshelfer/bauen-wohnen/energie/alternativenergie/speicheranlagen.html</t>
  </si>
  <si>
    <t>Landesförderung max. 30% der Investkosten 250€/kWp bis 100kWp, 200€/kWp von 100 bis 500kWp</t>
  </si>
  <si>
    <t>KLIEN2021</t>
  </si>
  <si>
    <t>0-10</t>
  </si>
  <si>
    <t>10-20</t>
  </si>
  <si>
    <t>20-50</t>
  </si>
  <si>
    <t>https://www.ktn.gv.at/Service/Formulare-und-Leistungen#search=photovoltaik</t>
  </si>
  <si>
    <t>https://www.salzburg.gv.at/wirtschaft_/Seiten/betriebliche-photovoltaik.aspx</t>
  </si>
  <si>
    <t>EAG Investzuschuss</t>
  </si>
  <si>
    <t>A</t>
  </si>
  <si>
    <t>C</t>
  </si>
  <si>
    <t>D</t>
  </si>
  <si>
    <t>&gt;100-1000</t>
  </si>
  <si>
    <t>0,01-10</t>
  </si>
  <si>
    <t>Zu- oder Abschlag?</t>
  </si>
  <si>
    <t>Zuschlag</t>
  </si>
  <si>
    <t>weder noch</t>
  </si>
  <si>
    <t>https://www.salzburg.gv.at/energie_/Seiten/photovoltaik-privat.aspx</t>
  </si>
  <si>
    <t>Weitere Informationen zu Förderungen für Photovoltaik und Speicher erhalten Sie unter:</t>
  </si>
  <si>
    <t>€/kWp und Jahr</t>
  </si>
  <si>
    <t>Sonstige laufende Kosten (z.B. jährliche Pacht):</t>
  </si>
  <si>
    <t>* Entwurf EAG-Investitionszuschüsseverordnung-Strom, max.-Werte ab &gt;20kWp</t>
  </si>
  <si>
    <t>&gt;10-35</t>
  </si>
  <si>
    <t>&gt;35-100</t>
  </si>
  <si>
    <t>&lt;= 35kWp MwSt. frei</t>
  </si>
  <si>
    <t>https://pvaustria.at/rechtlicher-rahmen/</t>
  </si>
  <si>
    <t>https://www.oem-ag.at/de/foerderung/photovoltaik/eag-investitionszuschuesse/</t>
  </si>
  <si>
    <t>https://www.bmk.gv.at/themen/klima_umwelt/energiewende/erneuerbare/foerderungen/pv/foerderung2024.html</t>
  </si>
  <si>
    <t>Förderungen aktualisiert am 22.02.2024</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</si>
  <si>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</si>
  <si>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</si>
  <si>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</si>
  <si>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</si>
  <si>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https://www.klimaaktiv.at/service/tools/erneuerbare/pv_rechner.html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</si>
</sst>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89"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
      <sz val="8"/>
      <color theme="0" tint="-0.249977111117893"/>
      <name val="Calibri"/>
      <family val="2"/>
      <scheme val="minor"/>
    </font>
    <font>
      <sz val="10"/>
      <color rgb="FFFF0000"/>
      <name val="Calibri"/>
      <family val="2"/>
    </font>
    <font>
      <sz val="10"/>
      <color rgb="FFFF0000"/>
      <name val="Arial"/>
      <family val="2"/>
    </font>
    <font>
      <sz val="10"/>
      <color theme="0"/>
      <name val="Arial"/>
      <family val="2"/>
    </font>
    <font>
      <b/>
      <sz val="10"/>
      <color rgb="FFFF0000"/>
      <name val="Calibri"/>
      <family val="2"/>
      <scheme val="minor"/>
    </font>
  </fonts>
  <fills count="23">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
      <patternFill patternType="solid">
        <fgColor theme="0" tint="-0.249977111117893"/>
        <bgColor indexed="22"/>
      </patternFill>
    </fill>
  </fills>
  <borders count="62">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6">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2" fontId="40" fillId="15" borderId="0" xfId="0" applyNumberFormat="1" applyFont="1" applyFill="1" applyBorder="1" applyAlignment="1" applyProtection="1">
      <alignment horizontal="center"/>
    </xf>
    <xf numFmtId="0" fontId="45" fillId="15" borderId="0" xfId="0" applyFont="1" applyFill="1" applyBorder="1" applyProtection="1"/>
    <xf numFmtId="0" fontId="40" fillId="2" borderId="0" xfId="0"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3" fillId="4" borderId="0" xfId="0" applyNumberFormat="1" applyFont="1" applyFill="1" applyBorder="1" applyAlignment="1" applyProtection="1">
      <alignment horizontal="left"/>
    </xf>
    <xf numFmtId="0" fontId="54" fillId="4" borderId="0" xfId="0" applyFont="1" applyFill="1" applyBorder="1" applyAlignment="1" applyProtection="1">
      <alignment vertical="center"/>
    </xf>
    <xf numFmtId="0" fontId="55"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6" fillId="4" borderId="0" xfId="0" applyFont="1" applyFill="1" applyBorder="1" applyAlignment="1" applyProtection="1">
      <alignment horizontal="left" vertical="center"/>
    </xf>
    <xf numFmtId="0" fontId="0" fillId="19" borderId="0" xfId="0" applyFill="1" applyProtection="1"/>
    <xf numFmtId="0" fontId="57"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7" fillId="2" borderId="0" xfId="0" applyFont="1" applyFill="1" applyBorder="1" applyProtection="1"/>
    <xf numFmtId="0" fontId="42" fillId="4" borderId="27" xfId="0" applyFont="1" applyFill="1" applyBorder="1" applyAlignment="1" applyProtection="1">
      <alignment horizontal="center"/>
    </xf>
    <xf numFmtId="2" fontId="42" fillId="4" borderId="28" xfId="0" applyNumberFormat="1" applyFont="1" applyFill="1" applyBorder="1" applyAlignment="1" applyProtection="1">
      <alignment horizontal="center"/>
    </xf>
    <xf numFmtId="0" fontId="42" fillId="4" borderId="28" xfId="0" applyFont="1" applyFill="1" applyBorder="1" applyAlignment="1" applyProtection="1">
      <alignment horizontal="center"/>
    </xf>
    <xf numFmtId="3" fontId="42" fillId="4" borderId="28" xfId="0" applyNumberFormat="1" applyFont="1" applyFill="1" applyBorder="1" applyAlignment="1" applyProtection="1">
      <alignment horizontal="center"/>
    </xf>
    <xf numFmtId="0" fontId="42" fillId="4" borderId="30"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0" fontId="42" fillId="4" borderId="32" xfId="0" applyFont="1" applyFill="1" applyBorder="1" applyAlignment="1" applyProtection="1">
      <alignment horizontal="center"/>
    </xf>
    <xf numFmtId="3" fontId="42" fillId="4" borderId="33" xfId="0" applyNumberFormat="1" applyFont="1" applyFill="1" applyBorder="1" applyAlignment="1" applyProtection="1">
      <alignment horizontal="center"/>
    </xf>
    <xf numFmtId="0" fontId="46" fillId="4" borderId="35" xfId="0" applyFont="1" applyFill="1" applyBorder="1" applyAlignment="1" applyProtection="1">
      <alignment horizontal="center"/>
    </xf>
    <xf numFmtId="0" fontId="46" fillId="4" borderId="36" xfId="0" applyFont="1" applyFill="1" applyBorder="1" applyAlignment="1" applyProtection="1">
      <alignment horizontal="center"/>
    </xf>
    <xf numFmtId="3" fontId="46" fillId="4" borderId="36"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7" fillId="15" borderId="0" xfId="0" applyFont="1" applyFill="1" applyBorder="1" applyProtection="1"/>
    <xf numFmtId="0" fontId="0" fillId="15" borderId="0" xfId="0" applyFill="1" applyBorder="1" applyProtection="1"/>
    <xf numFmtId="0" fontId="58"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59" fillId="2" borderId="0" xfId="0" applyFont="1" applyFill="1" applyProtection="1"/>
    <xf numFmtId="0" fontId="60"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0"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9" fontId="42" fillId="15" borderId="38" xfId="3" applyFont="1" applyFill="1" applyBorder="1" applyAlignment="1" applyProtection="1">
      <alignment horizontal="right"/>
      <protection locked="0"/>
    </xf>
    <xf numFmtId="0" fontId="62"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1" fillId="15" borderId="25" xfId="0" applyNumberFormat="1" applyFont="1" applyFill="1" applyBorder="1" applyAlignment="1" applyProtection="1">
      <alignment horizontal="right"/>
      <protection locked="0"/>
    </xf>
    <xf numFmtId="180" fontId="61" fillId="15" borderId="25" xfId="0" applyNumberFormat="1" applyFont="1" applyFill="1" applyBorder="1" applyAlignment="1" applyProtection="1">
      <alignment horizontal="right"/>
      <protection locked="0"/>
    </xf>
    <xf numFmtId="3" fontId="63" fillId="4" borderId="0" xfId="0" applyNumberFormat="1" applyFont="1" applyFill="1" applyBorder="1" applyAlignment="1" applyProtection="1">
      <alignment horizontal="left"/>
    </xf>
    <xf numFmtId="0" fontId="40" fillId="2" borderId="0" xfId="0"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8" xfId="0" applyNumberFormat="1" applyFont="1" applyFill="1" applyBorder="1" applyAlignment="1" applyProtection="1">
      <alignment horizontal="center"/>
    </xf>
    <xf numFmtId="0" fontId="42" fillId="14" borderId="27"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2"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4" fillId="20" borderId="0" xfId="0" applyFont="1" applyFill="1" applyBorder="1" applyAlignment="1" applyProtection="1">
      <alignment vertical="center"/>
    </xf>
    <xf numFmtId="0" fontId="65" fillId="20" borderId="0" xfId="0" applyFont="1" applyFill="1" applyBorder="1" applyAlignment="1" applyProtection="1">
      <alignment vertical="center"/>
    </xf>
    <xf numFmtId="0" fontId="66"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39" xfId="0" applyFont="1" applyFill="1" applyBorder="1" applyAlignment="1" applyProtection="1">
      <alignment horizontal="center"/>
    </xf>
    <xf numFmtId="0" fontId="46" fillId="14" borderId="40" xfId="0" applyFont="1" applyFill="1" applyBorder="1" applyAlignment="1" applyProtection="1">
      <alignment horizontal="center"/>
    </xf>
    <xf numFmtId="0" fontId="67" fillId="21" borderId="41" xfId="0" applyFont="1" applyFill="1" applyBorder="1" applyAlignment="1" applyProtection="1">
      <alignment vertical="center"/>
    </xf>
    <xf numFmtId="0" fontId="66" fillId="20" borderId="42" xfId="0" applyFont="1" applyFill="1" applyBorder="1" applyAlignment="1" applyProtection="1">
      <alignment vertical="center"/>
    </xf>
    <xf numFmtId="0" fontId="64" fillId="21" borderId="42" xfId="0" applyFont="1" applyFill="1" applyBorder="1" applyAlignment="1" applyProtection="1">
      <alignment horizontal="center" vertical="center"/>
    </xf>
    <xf numFmtId="0" fontId="64" fillId="21" borderId="43" xfId="0" applyFont="1" applyFill="1" applyBorder="1" applyAlignment="1" applyProtection="1">
      <alignment horizontal="right" vertical="center"/>
    </xf>
    <xf numFmtId="0" fontId="42" fillId="14" borderId="44" xfId="0" applyFont="1" applyFill="1" applyBorder="1" applyProtection="1"/>
    <xf numFmtId="0" fontId="46" fillId="14" borderId="45" xfId="0" applyNumberFormat="1" applyFont="1" applyFill="1" applyBorder="1" applyAlignment="1" applyProtection="1">
      <alignment horizontal="center"/>
    </xf>
    <xf numFmtId="0" fontId="42" fillId="14" borderId="46" xfId="0" applyNumberFormat="1" applyFont="1" applyFill="1" applyBorder="1" applyAlignment="1" applyProtection="1">
      <alignment horizontal="center"/>
    </xf>
    <xf numFmtId="0" fontId="42" fillId="8" borderId="46" xfId="0" applyFont="1" applyFill="1" applyBorder="1" applyAlignment="1" applyProtection="1">
      <alignment horizontal="center"/>
    </xf>
    <xf numFmtId="0" fontId="42" fillId="11" borderId="46" xfId="0" applyFont="1" applyFill="1" applyBorder="1" applyAlignment="1" applyProtection="1">
      <alignment horizontal="center"/>
    </xf>
    <xf numFmtId="0" fontId="42" fillId="12" borderId="46" xfId="0" applyFont="1" applyFill="1" applyBorder="1" applyAlignment="1" applyProtection="1">
      <alignment horizontal="center"/>
    </xf>
    <xf numFmtId="0" fontId="42" fillId="13"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1" fontId="42" fillId="8" borderId="46" xfId="0" applyNumberFormat="1" applyFont="1" applyFill="1" applyBorder="1" applyAlignment="1" applyProtection="1">
      <alignment horizontal="center"/>
    </xf>
    <xf numFmtId="1" fontId="42" fillId="11" borderId="46" xfId="0" applyNumberFormat="1" applyFont="1" applyFill="1" applyBorder="1" applyAlignment="1" applyProtection="1">
      <alignment horizontal="center"/>
    </xf>
    <xf numFmtId="1" fontId="42" fillId="12" borderId="46" xfId="0" applyNumberFormat="1" applyFont="1" applyFill="1" applyBorder="1" applyAlignment="1" applyProtection="1">
      <alignment horizontal="center"/>
    </xf>
    <xf numFmtId="1" fontId="42" fillId="13"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49" xfId="0" applyFont="1" applyFill="1" applyBorder="1" applyProtection="1"/>
    <xf numFmtId="0" fontId="0" fillId="14" borderId="50" xfId="0" applyFill="1" applyBorder="1" applyProtection="1"/>
    <xf numFmtId="0" fontId="0" fillId="14" borderId="51" xfId="0" applyFill="1" applyBorder="1" applyProtection="1"/>
    <xf numFmtId="0" fontId="3" fillId="14" borderId="51" xfId="0" applyNumberFormat="1" applyFont="1" applyFill="1" applyBorder="1" applyAlignment="1" applyProtection="1">
      <alignment horizontal="center"/>
    </xf>
    <xf numFmtId="0" fontId="3" fillId="14" borderId="52" xfId="0" applyNumberFormat="1" applyFont="1" applyFill="1" applyBorder="1" applyAlignment="1" applyProtection="1">
      <alignment horizontal="center"/>
    </xf>
    <xf numFmtId="0" fontId="0" fillId="15" borderId="51" xfId="0" applyFill="1" applyBorder="1" applyProtection="1"/>
    <xf numFmtId="0" fontId="3" fillId="15" borderId="51" xfId="0" applyNumberFormat="1" applyFont="1" applyFill="1" applyBorder="1" applyAlignment="1" applyProtection="1">
      <alignment horizontal="center"/>
    </xf>
    <xf numFmtId="0" fontId="42" fillId="14" borderId="50" xfId="0" applyFont="1" applyFill="1" applyBorder="1" applyProtection="1"/>
    <xf numFmtId="0" fontId="42" fillId="14" borderId="51" xfId="0" applyFont="1" applyFill="1" applyBorder="1" applyProtection="1"/>
    <xf numFmtId="0" fontId="42" fillId="14" borderId="52" xfId="0" applyFont="1" applyFill="1" applyBorder="1" applyProtection="1"/>
    <xf numFmtId="0" fontId="42" fillId="15" borderId="42" xfId="0" applyFont="1" applyFill="1" applyBorder="1" applyProtection="1"/>
    <xf numFmtId="0" fontId="46" fillId="15" borderId="42" xfId="0" applyFont="1" applyFill="1" applyBorder="1" applyProtection="1"/>
    <xf numFmtId="9" fontId="42" fillId="15" borderId="42" xfId="0" applyNumberFormat="1" applyFont="1" applyFill="1" applyBorder="1" applyAlignment="1" applyProtection="1">
      <alignment horizontal="center"/>
    </xf>
    <xf numFmtId="0" fontId="62" fillId="15" borderId="42" xfId="0" applyFont="1" applyFill="1" applyBorder="1" applyProtection="1"/>
    <xf numFmtId="0" fontId="42" fillId="14" borderId="41" xfId="0" applyFont="1" applyFill="1" applyBorder="1" applyProtection="1"/>
    <xf numFmtId="0" fontId="42" fillId="14" borderId="42" xfId="0" applyFont="1" applyFill="1" applyBorder="1" applyProtection="1"/>
    <xf numFmtId="0" fontId="42" fillId="14" borderId="43" xfId="0" applyFont="1" applyFill="1" applyBorder="1" applyProtection="1"/>
    <xf numFmtId="0" fontId="3" fillId="14" borderId="44" xfId="0" applyFont="1" applyFill="1" applyBorder="1" applyAlignment="1" applyProtection="1">
      <alignment horizontal="left"/>
    </xf>
    <xf numFmtId="1" fontId="0" fillId="14" borderId="49" xfId="0" applyNumberFormat="1" applyFill="1" applyBorder="1" applyAlignment="1" applyProtection="1">
      <alignment horizontal="center"/>
    </xf>
    <xf numFmtId="0" fontId="0" fillId="14" borderId="44" xfId="0" applyFill="1" applyBorder="1" applyProtection="1"/>
    <xf numFmtId="0" fontId="0" fillId="14" borderId="49" xfId="0" applyFill="1" applyBorder="1" applyProtection="1"/>
    <xf numFmtId="0" fontId="0" fillId="14" borderId="51" xfId="0" applyFill="1" applyBorder="1" applyAlignment="1" applyProtection="1">
      <alignment horizontal="right"/>
    </xf>
    <xf numFmtId="1" fontId="68" fillId="14" borderId="51" xfId="0" applyNumberFormat="1" applyFont="1" applyFill="1" applyBorder="1" applyAlignment="1" applyProtection="1">
      <alignment horizontal="center"/>
    </xf>
    <xf numFmtId="0" fontId="68" fillId="14" borderId="51" xfId="0" applyFont="1" applyFill="1" applyBorder="1" applyProtection="1"/>
    <xf numFmtId="0" fontId="0" fillId="14" borderId="52" xfId="0" applyFill="1" applyBorder="1" applyProtection="1"/>
    <xf numFmtId="0" fontId="69" fillId="15" borderId="0" xfId="0" applyFont="1" applyFill="1" applyBorder="1" applyAlignment="1" applyProtection="1">
      <alignment horizontal="center"/>
    </xf>
    <xf numFmtId="2" fontId="69" fillId="15" borderId="0" xfId="0" applyNumberFormat="1" applyFont="1" applyFill="1" applyBorder="1" applyAlignment="1" applyProtection="1">
      <alignment horizontal="left"/>
    </xf>
    <xf numFmtId="0" fontId="69" fillId="15" borderId="0" xfId="0" applyFont="1" applyFill="1" applyBorder="1" applyProtection="1"/>
    <xf numFmtId="0" fontId="69" fillId="15" borderId="0" xfId="0" applyFont="1" applyFill="1" applyBorder="1" applyAlignment="1" applyProtection="1">
      <alignment horizontal="right"/>
    </xf>
    <xf numFmtId="0" fontId="70" fillId="15" borderId="0" xfId="0" applyFont="1" applyFill="1" applyBorder="1" applyProtection="1"/>
    <xf numFmtId="3" fontId="70" fillId="15" borderId="0" xfId="0" applyNumberFormat="1" applyFont="1" applyFill="1" applyBorder="1" applyProtection="1"/>
    <xf numFmtId="3" fontId="69" fillId="15" borderId="0" xfId="0" applyNumberFormat="1" applyFont="1" applyFill="1" applyBorder="1" applyAlignment="1" applyProtection="1">
      <alignment horizontal="center"/>
    </xf>
    <xf numFmtId="2" fontId="69" fillId="15" borderId="0" xfId="0" applyNumberFormat="1" applyFont="1" applyFill="1" applyBorder="1" applyAlignment="1" applyProtection="1">
      <alignment horizontal="center"/>
    </xf>
    <xf numFmtId="0" fontId="44" fillId="15" borderId="0" xfId="0" applyFont="1" applyFill="1" applyBorder="1" applyProtection="1"/>
    <xf numFmtId="0" fontId="72" fillId="15" borderId="0" xfId="0" applyFont="1" applyFill="1" applyBorder="1" applyAlignment="1" applyProtection="1">
      <alignment horizontal="right"/>
    </xf>
    <xf numFmtId="0" fontId="70" fillId="21" borderId="53" xfId="0" applyFont="1" applyFill="1" applyBorder="1" applyAlignment="1" applyProtection="1">
      <alignment horizontal="center"/>
    </xf>
    <xf numFmtId="0" fontId="70" fillId="21" borderId="54" xfId="0" applyFont="1" applyFill="1" applyBorder="1" applyAlignment="1" applyProtection="1">
      <alignment horizontal="center"/>
    </xf>
    <xf numFmtId="3" fontId="70" fillId="21" borderId="54" xfId="0" applyNumberFormat="1" applyFont="1" applyFill="1" applyBorder="1" applyAlignment="1" applyProtection="1">
      <alignment horizontal="center"/>
    </xf>
    <xf numFmtId="0" fontId="70" fillId="21" borderId="56" xfId="0" applyFont="1" applyFill="1" applyBorder="1" applyAlignment="1" applyProtection="1">
      <alignment horizontal="center"/>
    </xf>
    <xf numFmtId="3" fontId="70" fillId="21" borderId="57" xfId="0" applyNumberFormat="1" applyFont="1" applyFill="1" applyBorder="1" applyAlignment="1" applyProtection="1">
      <alignment horizontal="center"/>
    </xf>
    <xf numFmtId="0" fontId="70" fillId="21" borderId="57" xfId="0" applyFont="1" applyFill="1" applyBorder="1" applyAlignment="1" applyProtection="1">
      <alignment horizontal="center"/>
    </xf>
    <xf numFmtId="0" fontId="39" fillId="15" borderId="0" xfId="0" applyFont="1" applyFill="1" applyAlignment="1" applyProtection="1">
      <alignment horizontal="center"/>
    </xf>
    <xf numFmtId="0" fontId="73"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3" fillId="4" borderId="0" xfId="0" applyFont="1" applyFill="1" applyBorder="1" applyAlignment="1" applyProtection="1">
      <alignment horizontal="left"/>
    </xf>
    <xf numFmtId="0" fontId="61" fillId="14" borderId="0" xfId="0" applyFont="1" applyFill="1" applyBorder="1" applyProtection="1"/>
    <xf numFmtId="0" fontId="38" fillId="2" borderId="0" xfId="0" applyFont="1" applyFill="1" applyProtection="1"/>
    <xf numFmtId="0" fontId="70" fillId="2" borderId="0" xfId="0" applyFont="1" applyFill="1" applyProtection="1"/>
    <xf numFmtId="3" fontId="70" fillId="2" borderId="0" xfId="0" applyNumberFormat="1" applyFont="1" applyFill="1" applyProtection="1"/>
    <xf numFmtId="0" fontId="74"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2" fontId="40" fillId="15" borderId="0" xfId="0" applyNumberFormat="1" applyFont="1" applyFill="1" applyProtection="1"/>
    <xf numFmtId="4" fontId="44" fillId="15" borderId="0" xfId="0" applyNumberFormat="1" applyFont="1" applyFill="1" applyBorder="1" applyProtection="1"/>
    <xf numFmtId="3" fontId="39" fillId="2" borderId="0" xfId="0" applyNumberFormat="1" applyFont="1" applyFill="1" applyBorder="1" applyProtection="1"/>
    <xf numFmtId="0" fontId="86" fillId="2" borderId="0" xfId="0" applyFont="1" applyFill="1" applyProtection="1"/>
    <xf numFmtId="0" fontId="87" fillId="2" borderId="0" xfId="0" applyFont="1" applyFill="1" applyProtection="1"/>
    <xf numFmtId="0" fontId="9" fillId="2" borderId="0" xfId="1" applyFill="1" applyAlignment="1" applyProtection="1">
      <protection locked="0"/>
    </xf>
    <xf numFmtId="168" fontId="40" fillId="15"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4" fontId="42" fillId="17" borderId="25" xfId="2" applyNumberFormat="1" applyFont="1" applyFill="1" applyBorder="1" applyAlignment="1" applyProtection="1">
      <alignment horizontal="right"/>
      <protection locked="0"/>
    </xf>
    <xf numFmtId="0" fontId="39" fillId="15" borderId="0" xfId="0" applyFont="1" applyFill="1" applyBorder="1" applyAlignment="1" applyProtection="1">
      <alignment horizontal="center"/>
    </xf>
    <xf numFmtId="0" fontId="88" fillId="15" borderId="0" xfId="0" applyFont="1" applyFill="1" applyBorder="1" applyAlignment="1" applyProtection="1">
      <alignment horizontal="right"/>
    </xf>
    <xf numFmtId="0" fontId="62" fillId="3" borderId="0" xfId="0" applyFont="1" applyFill="1" applyBorder="1" applyAlignment="1" applyProtection="1">
      <alignment horizontal="center" vertical="center"/>
    </xf>
    <xf numFmtId="172" fontId="42" fillId="4" borderId="30" xfId="2" applyNumberFormat="1" applyFont="1" applyFill="1" applyBorder="1" applyAlignment="1" applyProtection="1">
      <alignment horizontal="right"/>
    </xf>
    <xf numFmtId="0" fontId="62" fillId="4" borderId="25" xfId="0" applyFont="1" applyFill="1" applyBorder="1" applyAlignment="1" applyProtection="1">
      <alignment horizontal="center"/>
    </xf>
    <xf numFmtId="177" fontId="62" fillId="4" borderId="25" xfId="2" applyNumberFormat="1" applyFont="1" applyFill="1" applyBorder="1" applyAlignment="1" applyProtection="1">
      <alignment horizontal="center"/>
    </xf>
    <xf numFmtId="0" fontId="84" fillId="22" borderId="26" xfId="0" applyFont="1" applyFill="1" applyBorder="1" applyAlignment="1" applyProtection="1">
      <alignment horizontal="center" vertical="center"/>
    </xf>
    <xf numFmtId="172" fontId="84" fillId="4" borderId="0" xfId="2" applyNumberFormat="1" applyFont="1" applyFill="1" applyBorder="1" applyAlignment="1" applyProtection="1">
      <alignment horizontal="left"/>
    </xf>
    <xf numFmtId="0" fontId="44" fillId="15" borderId="0" xfId="0" applyFont="1" applyFill="1" applyBorder="1" applyAlignment="1" applyProtection="1">
      <alignment horizontal="right"/>
    </xf>
    <xf numFmtId="0" fontId="70" fillId="15" borderId="0" xfId="0" applyFont="1" applyFill="1" applyBorder="1" applyAlignment="1" applyProtection="1">
      <alignment horizontal="center"/>
    </xf>
    <xf numFmtId="3" fontId="70" fillId="15" borderId="0" xfId="0" applyNumberFormat="1" applyFont="1" applyFill="1" applyBorder="1" applyAlignment="1" applyProtection="1">
      <alignment horizontal="center"/>
    </xf>
    <xf numFmtId="3" fontId="40" fillId="15" borderId="0" xfId="0" applyNumberFormat="1" applyFont="1" applyFill="1" applyBorder="1" applyAlignment="1" applyProtection="1">
      <alignment horizontal="center"/>
    </xf>
    <xf numFmtId="174" fontId="70" fillId="15" borderId="0" xfId="2" applyNumberFormat="1" applyFont="1" applyFill="1" applyBorder="1" applyAlignment="1" applyProtection="1">
      <alignment horizontal="center"/>
    </xf>
    <xf numFmtId="165" fontId="71" fillId="15" borderId="0" xfId="0" applyNumberFormat="1" applyFont="1" applyFill="1" applyBorder="1" applyAlignment="1" applyProtection="1">
      <alignment horizontal="center"/>
    </xf>
    <xf numFmtId="164" fontId="40" fillId="15" borderId="0" xfId="2" applyNumberFormat="1" applyFont="1" applyFill="1" applyBorder="1" applyProtection="1"/>
    <xf numFmtId="167" fontId="40" fillId="15" borderId="0" xfId="0" applyNumberFormat="1" applyFont="1" applyFill="1" applyBorder="1" applyProtection="1"/>
    <xf numFmtId="168" fontId="40" fillId="15" borderId="0" xfId="2" applyNumberFormat="1" applyFont="1" applyFill="1" applyBorder="1" applyAlignment="1" applyProtection="1">
      <alignment horizontal="center"/>
    </xf>
    <xf numFmtId="3" fontId="70" fillId="21" borderId="55" xfId="0" applyNumberFormat="1" applyFont="1" applyFill="1" applyBorder="1" applyAlignment="1" applyProtection="1">
      <alignment horizontal="center"/>
    </xf>
    <xf numFmtId="3" fontId="70" fillId="21" borderId="58" xfId="0" applyNumberFormat="1" applyFont="1" applyFill="1" applyBorder="1" applyAlignment="1" applyProtection="1">
      <alignment horizontal="center"/>
    </xf>
    <xf numFmtId="3" fontId="42" fillId="4" borderId="29" xfId="0" applyNumberFormat="1" applyFont="1" applyFill="1" applyBorder="1" applyAlignment="1" applyProtection="1">
      <alignment horizontal="center"/>
    </xf>
    <xf numFmtId="3" fontId="42" fillId="4" borderId="31" xfId="0" applyNumberFormat="1" applyFont="1" applyFill="1" applyBorder="1" applyAlignment="1" applyProtection="1">
      <alignment horizontal="center"/>
    </xf>
    <xf numFmtId="3" fontId="42" fillId="4" borderId="34" xfId="0" applyNumberFormat="1" applyFont="1" applyFill="1" applyBorder="1" applyAlignment="1" applyProtection="1">
      <alignment horizontal="center"/>
    </xf>
    <xf numFmtId="3" fontId="46" fillId="4" borderId="37" xfId="0" applyNumberFormat="1" applyFont="1" applyFill="1" applyBorder="1" applyAlignment="1" applyProtection="1">
      <alignment horizontal="center"/>
    </xf>
    <xf numFmtId="2" fontId="70" fillId="15" borderId="0" xfId="0" applyNumberFormat="1" applyFont="1" applyFill="1" applyBorder="1" applyAlignment="1" applyProtection="1">
      <alignment horizontal="center"/>
    </xf>
    <xf numFmtId="3" fontId="45" fillId="15" borderId="0" xfId="0" applyNumberFormat="1" applyFont="1" applyFill="1" applyBorder="1" applyProtection="1"/>
    <xf numFmtId="0" fontId="44"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3" fontId="44" fillId="15" borderId="0" xfId="0" applyNumberFormat="1" applyFont="1" applyFill="1" applyBorder="1" applyAlignment="1" applyProtection="1">
      <alignment horizontal="center"/>
    </xf>
    <xf numFmtId="17" fontId="40" fillId="15" borderId="0" xfId="0" quotePrefix="1" applyNumberFormat="1" applyFont="1" applyFill="1" applyBorder="1" applyProtection="1"/>
    <xf numFmtId="172" fontId="40" fillId="15" borderId="0" xfId="0" applyNumberFormat="1" applyFont="1" applyFill="1" applyBorder="1" applyProtection="1"/>
    <xf numFmtId="166" fontId="40" fillId="15" borderId="0" xfId="0" applyNumberFormat="1" applyFont="1" applyFill="1" applyBorder="1" applyProtection="1"/>
    <xf numFmtId="0" fontId="40" fillId="15" borderId="0" xfId="0" applyFont="1" applyFill="1" applyBorder="1"/>
    <xf numFmtId="10" fontId="40" fillId="15" borderId="0" xfId="3" applyNumberFormat="1" applyFont="1" applyFill="1" applyBorder="1" applyProtection="1"/>
    <xf numFmtId="169" fontId="40" fillId="15" borderId="0" xfId="0" applyNumberFormat="1" applyFont="1" applyFill="1" applyBorder="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3" fontId="40" fillId="15" borderId="0" xfId="0" applyNumberFormat="1" applyFont="1" applyFill="1" applyProtection="1"/>
    <xf numFmtId="3" fontId="40" fillId="2" borderId="0" xfId="0" applyNumberFormat="1" applyFont="1" applyFill="1" applyProtection="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42" fillId="4" borderId="25" xfId="0" applyNumberFormat="1" applyFont="1" applyFill="1" applyBorder="1" applyAlignment="1" applyProtection="1">
      <alignment horizontal="center"/>
    </xf>
    <xf numFmtId="0" fontId="84" fillId="4" borderId="60" xfId="0" applyFont="1" applyFill="1" applyBorder="1" applyAlignment="1" applyProtection="1">
      <alignment horizontal="left" vertical="center" wrapText="1"/>
      <protection locked="0"/>
    </xf>
    <xf numFmtId="0" fontId="84" fillId="4" borderId="61" xfId="0" applyFont="1" applyFill="1" applyBorder="1" applyAlignment="1" applyProtection="1">
      <alignment horizontal="left" vertical="center"/>
      <protection locked="0"/>
    </xf>
    <xf numFmtId="0" fontId="42" fillId="2" borderId="31" xfId="0" applyFont="1" applyFill="1" applyBorder="1" applyAlignment="1" applyProtection="1">
      <alignment horizontal="center"/>
      <protection locked="0"/>
    </xf>
    <xf numFmtId="0" fontId="42" fillId="0" borderId="30" xfId="0" applyFont="1" applyBorder="1" applyAlignment="1" applyProtection="1">
      <alignment horizontal="center"/>
      <protection locked="0"/>
    </xf>
    <xf numFmtId="0" fontId="42" fillId="2" borderId="31" xfId="0" applyFont="1" applyFill="1" applyBorder="1" applyAlignment="1" applyProtection="1">
      <alignment horizontal="center"/>
    </xf>
    <xf numFmtId="0" fontId="42" fillId="0" borderId="30" xfId="0" applyFont="1" applyBorder="1" applyProtection="1"/>
    <xf numFmtId="0" fontId="83" fillId="4" borderId="0" xfId="1" applyFont="1" applyFill="1" applyBorder="1" applyAlignment="1" applyProtection="1">
      <alignment horizontal="center"/>
      <protection locked="0"/>
    </xf>
    <xf numFmtId="0" fontId="40" fillId="15" borderId="0" xfId="0" applyFont="1" applyFill="1" applyAlignment="1" applyProtection="1">
      <alignment horizontal="center"/>
    </xf>
    <xf numFmtId="0" fontId="39" fillId="2" borderId="0" xfId="1" applyFont="1" applyFill="1" applyAlignment="1" applyProtection="1"/>
    <xf numFmtId="0" fontId="75" fillId="2" borderId="0" xfId="1" applyFont="1" applyFill="1" applyAlignment="1" applyProtection="1">
      <alignment horizontal="left"/>
      <protection locked="0"/>
    </xf>
    <xf numFmtId="0" fontId="76" fillId="2" borderId="0" xfId="1" applyFont="1" applyFill="1" applyAlignment="1" applyProtection="1">
      <alignment horizontal="left"/>
      <protection locked="0"/>
    </xf>
    <xf numFmtId="0" fontId="71" fillId="0" borderId="0" xfId="0" applyFont="1" applyAlignment="1">
      <alignment horizontal="justify" vertical="center"/>
    </xf>
    <xf numFmtId="0" fontId="40" fillId="0" borderId="0" xfId="0" applyFont="1" applyAlignment="1"/>
    <xf numFmtId="0" fontId="85" fillId="0" borderId="0" xfId="0" applyFont="1" applyAlignment="1">
      <alignment horizontal="justify" vertical="center"/>
    </xf>
    <xf numFmtId="0" fontId="39" fillId="0" borderId="0" xfId="0" applyFont="1" applyAlignment="1"/>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Font="1" applyFill="1" applyBorder="1" applyAlignment="1">
      <alignment horizontal="center"/>
    </xf>
    <xf numFmtId="0" fontId="73"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7" fillId="15" borderId="0" xfId="0" applyFont="1" applyFill="1" applyBorder="1" applyAlignment="1" applyProtection="1">
      <alignment horizontal="center"/>
    </xf>
    <xf numFmtId="0" fontId="78" fillId="15" borderId="0" xfId="0" applyFont="1" applyFill="1" applyBorder="1" applyAlignment="1">
      <alignment horizontal="center"/>
    </xf>
    <xf numFmtId="0" fontId="79" fillId="15" borderId="0" xfId="0" applyFont="1" applyFill="1" applyAlignment="1" applyProtection="1">
      <alignment horizontal="center"/>
    </xf>
    <xf numFmtId="0" fontId="79"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80" fillId="14" borderId="44" xfId="0" applyFont="1" applyFill="1" applyBorder="1" applyAlignment="1" applyProtection="1">
      <alignment horizontal="right" vertical="center" textRotation="90"/>
    </xf>
    <xf numFmtId="0" fontId="27" fillId="14" borderId="44" xfId="0" applyFont="1" applyFill="1" applyBorder="1" applyAlignment="1">
      <alignment horizontal="right" vertical="center" textRotation="90"/>
    </xf>
    <xf numFmtId="0" fontId="27" fillId="14" borderId="50" xfId="0" applyFont="1" applyFill="1" applyBorder="1" applyAlignment="1">
      <alignment horizontal="right" vertical="center" textRotation="90"/>
    </xf>
    <xf numFmtId="0" fontId="69" fillId="15" borderId="0" xfId="0" applyFont="1" applyFill="1" applyBorder="1" applyAlignment="1" applyProtection="1">
      <alignment horizontal="left"/>
    </xf>
    <xf numFmtId="0" fontId="70" fillId="15" borderId="0" xfId="0" applyFont="1" applyFill="1" applyBorder="1" applyAlignment="1" applyProtection="1">
      <alignment horizontal="left"/>
    </xf>
    <xf numFmtId="0" fontId="46" fillId="4" borderId="25" xfId="0" applyNumberFormat="1" applyFont="1" applyFill="1" applyBorder="1" applyAlignment="1" applyProtection="1">
      <alignment horizontal="center"/>
    </xf>
    <xf numFmtId="0" fontId="46" fillId="4" borderId="25" xfId="0" applyFont="1" applyFill="1" applyBorder="1" applyAlignment="1" applyProtection="1">
      <alignment horizontal="center"/>
    </xf>
    <xf numFmtId="0" fontId="9" fillId="2" borderId="31" xfId="1" applyFill="1" applyBorder="1" applyAlignment="1" applyProtection="1">
      <alignment horizontal="left"/>
      <protection locked="0"/>
    </xf>
    <xf numFmtId="0" fontId="73" fillId="0" borderId="59" xfId="0" applyFont="1" applyBorder="1" applyAlignment="1" applyProtection="1">
      <alignment horizontal="left"/>
      <protection locked="0"/>
    </xf>
    <xf numFmtId="0" fontId="73" fillId="0" borderId="30" xfId="0" applyFont="1" applyBorder="1" applyAlignment="1" applyProtection="1">
      <alignment horizontal="left"/>
      <protection locked="0"/>
    </xf>
    <xf numFmtId="0" fontId="9" fillId="2" borderId="31" xfId="1" applyFont="1" applyFill="1" applyBorder="1" applyAlignment="1" applyProtection="1">
      <protection locked="0"/>
    </xf>
    <xf numFmtId="0" fontId="42" fillId="0" borderId="59" xfId="0" applyFont="1" applyBorder="1" applyAlignment="1" applyProtection="1">
      <protection locked="0"/>
    </xf>
    <xf numFmtId="0" fontId="42" fillId="0" borderId="30" xfId="0" applyFont="1" applyBorder="1" applyAlignment="1" applyProtection="1">
      <protection locked="0"/>
    </xf>
    <xf numFmtId="0" fontId="82" fillId="14" borderId="0" xfId="1" applyFont="1" applyFill="1" applyBorder="1" applyAlignment="1" applyProtection="1">
      <alignment horizontal="center" wrapText="1"/>
      <protection locked="0"/>
    </xf>
    <xf numFmtId="0" fontId="60" fillId="2" borderId="31" xfId="1" applyFont="1" applyFill="1" applyBorder="1" applyAlignment="1" applyProtection="1">
      <protection locked="0"/>
    </xf>
    <xf numFmtId="0" fontId="81" fillId="2" borderId="59" xfId="1" applyFont="1" applyFill="1" applyBorder="1" applyAlignment="1" applyProtection="1">
      <protection locked="0"/>
    </xf>
    <xf numFmtId="0" fontId="81" fillId="2" borderId="30"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20" fillId="2" borderId="0" xfId="1" applyFont="1" applyFill="1" applyAlignment="1" applyProtection="1">
      <alignment horizontal="left"/>
      <protection locked="0"/>
    </xf>
    <xf numFmtId="0" fontId="0" fillId="0" borderId="0" xfId="0" applyAlignment="1"/>
  </cellXfs>
  <cellStyles count="6">
    <cellStyle name="Komma" xfId="2" builtinId="3"/>
    <cellStyle name="Link" xfId="1" builtinId="8"/>
    <cellStyle name="Prozent" xfId="3" builtinId="5"/>
    <cellStyle name="Standard" xfId="0" builtinId="0"/>
    <cellStyle name="Standard 2" xfId="4" xr:uid="{00000000-0005-0000-0000-000004000000}"/>
    <cellStyle name="Standard_Tabelle 2" xfId="5" xr:uid="{00000000-0005-0000-0000-000005000000}"/>
  </cellStyles>
  <dxfs count="19">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lor auto="1"/>
      </font>
      <fill>
        <patternFill>
          <bgColor theme="0" tint="-0.24994659260841701"/>
        </patternFill>
      </fill>
    </dxf>
    <dxf>
      <font>
        <condense val="0"/>
        <extend val="0"/>
        <color auto="1"/>
      </font>
      <fill>
        <patternFill>
          <bgColor theme="0" tint="-0.24994659260841701"/>
        </patternFill>
      </fill>
      <border>
        <left/>
        <right style="thin">
          <color theme="0" tint="-0.499984740745262"/>
        </right>
        <top/>
        <bottom/>
      </border>
    </dxf>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015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2"/>
                <c:pt idx="0">
                  <c:v>Kapitalwert</c:v>
                </c:pt>
                <c:pt idx="1">
                  <c:v>[€]</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-21000</c:v>
                </c:pt>
                <c:pt idx="1">
                  <c:v>-19014.744352941176</c:v>
                </c:pt>
                <c:pt idx="2">
                  <c:v>-17079.787857312807</c:v>
                </c:pt>
                <c:pt idx="3">
                  <c:v>-15193.917789601646</c:v>
                </c:pt>
                <c:pt idx="4">
                  <c:v>-13355.950665322893</c:v>
                </c:pt>
                <c:pt idx="5">
                  <c:v>-11564.73153406084</c:v>
                </c:pt>
                <c:pt idx="6">
                  <c:v>-9819.1332915062449</c:v>
                </c:pt>
                <c:pt idx="7">
                  <c:v>-8118.0560080806254</c:v>
                </c:pt>
                <c:pt idx="8">
                  <c:v>-6460.4262737475783</c:v>
                </c:pt>
                <c:pt idx="9">
                  <c:v>-4845.1965586208298</c:v>
                </c:pt>
                <c:pt idx="10">
                  <c:v>-3271.3445889881732</c:v>
                </c:pt>
                <c:pt idx="11">
                  <c:v>-1737.8727383796008</c:v>
                </c:pt>
                <c:pt idx="12">
                  <c:v>-243.80743331692179</c:v>
                </c:pt>
                <c:pt idx="13">
                  <c:v>-890.20787486224901</c:v>
                </c:pt>
                <c:pt idx="14">
                  <c:v>527.87173320829777</c:v>
                </c:pt>
                <c:pt idx="15">
                  <c:v>1909.3269278722159</c:v>
                </c:pt>
                <c:pt idx="16">
                  <c:v>3255.0407317259915</c:v>
                </c:pt>
                <c:pt idx="17">
                  <c:v>4565.8748774986852</c:v>
                </c:pt>
                <c:pt idx="18">
                  <c:v>5842.6703213552846</c:v>
                </c:pt>
                <c:pt idx="19">
                  <c:v>7086.2477438241904</c:v>
                </c:pt>
                <c:pt idx="20">
                  <c:v>8297.4080386472415</c:v>
                </c:pt>
                <c:pt idx="21">
                  <c:v>9476.9327898434549</c:v>
                </c:pt>
                <c:pt idx="22">
                  <c:v>10625.584737270652</c:v>
                </c:pt>
                <c:pt idx="23">
                  <c:v>11744.108230962302</c:v>
                </c:pt>
                <c:pt idx="24">
                  <c:v>12833.229674510188</c:v>
                </c:pt>
                <c:pt idx="25">
                  <c:v>13893.657957757045</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 xmlns:c16="http://schemas.microsoft.com/office/drawing/2014/chart" uri="{C3380CC4-5D6E-409C-BE32-E72D297353CC}">
              <c16:uniqueId val="{00000000-4A70-4657-8322-8F73CD79F90D}"/>
            </c:ext>
          </c:extLst>
        </c:ser>
        <c:dLbls>
          <c:showLegendKey val="0"/>
          <c:showVal val="0"/>
          <c:showCatName val="0"/>
          <c:showSerName val="0"/>
          <c:showPercent val="0"/>
          <c:showBubbleSize val="0"/>
        </c:dLbls>
        <c:gapWidth val="125"/>
        <c:axId val="142956800"/>
        <c:axId val="142967168"/>
      </c:barChart>
      <c:lineChart>
        <c:grouping val="standard"/>
        <c:varyColors val="0"/>
        <c:ser>
          <c:idx val="0"/>
          <c:order val="1"/>
          <c:tx>
            <c:strRef>
              <c:f>Berechnungen!$L$9:$L$10</c:f>
              <c:strCache>
                <c:ptCount val="2"/>
                <c:pt idx="0">
                  <c:v>Kapitalwert</c:v>
                </c:pt>
                <c:pt idx="1">
                  <c:v>[€]</c:v>
                </c:pt>
              </c:strCache>
            </c:strRef>
          </c:tx>
          <c:spPr>
            <a:ln w="12700">
              <a:solidFill>
                <a:srgbClr val="71706C"/>
              </a:solidFill>
              <a:prstDash val="solid"/>
            </a:ln>
          </c:spPr>
          <c:marker>
            <c:symbol val="none"/>
          </c:marker>
          <c:val>
            <c:numRef>
              <c:f>Berechnungen!$L$11:$L$36</c:f>
              <c:numCache>
                <c:formatCode>#,##0</c:formatCode>
                <c:ptCount val="26"/>
                <c:pt idx="0">
                  <c:v>-21000</c:v>
                </c:pt>
                <c:pt idx="1">
                  <c:v>-19014.744352941176</c:v>
                </c:pt>
                <c:pt idx="2">
                  <c:v>-17079.787857312807</c:v>
                </c:pt>
                <c:pt idx="3">
                  <c:v>-15193.917789601646</c:v>
                </c:pt>
                <c:pt idx="4">
                  <c:v>-13355.950665322893</c:v>
                </c:pt>
                <c:pt idx="5">
                  <c:v>-11564.73153406084</c:v>
                </c:pt>
                <c:pt idx="6">
                  <c:v>-9819.1332915062449</c:v>
                </c:pt>
                <c:pt idx="7">
                  <c:v>-8118.0560080806254</c:v>
                </c:pt>
                <c:pt idx="8">
                  <c:v>-6460.4262737475783</c:v>
                </c:pt>
                <c:pt idx="9">
                  <c:v>-4845.1965586208298</c:v>
                </c:pt>
                <c:pt idx="10">
                  <c:v>-3271.3445889881732</c:v>
                </c:pt>
                <c:pt idx="11">
                  <c:v>-1737.8727383796008</c:v>
                </c:pt>
                <c:pt idx="12">
                  <c:v>-243.80743331692179</c:v>
                </c:pt>
                <c:pt idx="13">
                  <c:v>-890.20787486224901</c:v>
                </c:pt>
                <c:pt idx="14">
                  <c:v>527.87173320829777</c:v>
                </c:pt>
                <c:pt idx="15">
                  <c:v>1909.3269278722159</c:v>
                </c:pt>
                <c:pt idx="16">
                  <c:v>3255.0407317259915</c:v>
                </c:pt>
                <c:pt idx="17">
                  <c:v>4565.8748774986852</c:v>
                </c:pt>
                <c:pt idx="18">
                  <c:v>5842.6703213552846</c:v>
                </c:pt>
                <c:pt idx="19">
                  <c:v>7086.2477438241904</c:v>
                </c:pt>
                <c:pt idx="20">
                  <c:v>8297.4080386472415</c:v>
                </c:pt>
                <c:pt idx="21">
                  <c:v>9476.9327898434549</c:v>
                </c:pt>
                <c:pt idx="22">
                  <c:v>10625.584737270652</c:v>
                </c:pt>
                <c:pt idx="23">
                  <c:v>11744.108230962302</c:v>
                </c:pt>
                <c:pt idx="24">
                  <c:v>12833.229674510188</c:v>
                </c:pt>
                <c:pt idx="25">
                  <c:v>13893.657957757045</c:v>
                </c:pt>
              </c:numCache>
            </c:numRef>
          </c:val>
          <c:smooth val="1"/>
          <c:extLst>
            <c:ext xmlns:c16="http://schemas.microsoft.com/office/drawing/2014/chart" uri="{C3380CC4-5D6E-409C-BE32-E72D297353CC}">
              <c16:uniqueId val="{00000001-4A70-4657-8322-8F73CD79F90D}"/>
            </c:ext>
          </c:extLst>
        </c:ser>
        <c:dLbls>
          <c:showLegendKey val="0"/>
          <c:showVal val="0"/>
          <c:showCatName val="0"/>
          <c:showSerName val="0"/>
          <c:showPercent val="0"/>
          <c:showBubbleSize val="0"/>
        </c:dLbls>
        <c:marker val="1"/>
        <c:smooth val="0"/>
        <c:axId val="142969088"/>
        <c:axId val="142979072"/>
      </c:lineChart>
      <c:catAx>
        <c:axId val="142956800"/>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67168"/>
        <c:crosses val="autoZero"/>
        <c:auto val="0"/>
        <c:lblAlgn val="ctr"/>
        <c:lblOffset val="100"/>
        <c:tickLblSkip val="1"/>
        <c:tickMarkSkip val="1"/>
        <c:noMultiLvlLbl val="0"/>
      </c:catAx>
      <c:valAx>
        <c:axId val="142967168"/>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56800"/>
        <c:crosses val="autoZero"/>
        <c:crossBetween val="between"/>
      </c:valAx>
      <c:catAx>
        <c:axId val="142969088"/>
        <c:scaling>
          <c:orientation val="minMax"/>
        </c:scaling>
        <c:delete val="1"/>
        <c:axPos val="b"/>
        <c:majorTickMark val="out"/>
        <c:minorTickMark val="none"/>
        <c:tickLblPos val="nextTo"/>
        <c:crossAx val="142979072"/>
        <c:crosses val="autoZero"/>
        <c:auto val="0"/>
        <c:lblAlgn val="ctr"/>
        <c:lblOffset val="100"/>
        <c:noMultiLvlLbl val="0"/>
      </c:catAx>
      <c:valAx>
        <c:axId val="142979072"/>
        <c:scaling>
          <c:orientation val="minMax"/>
        </c:scaling>
        <c:delete val="1"/>
        <c:axPos val="l"/>
        <c:numFmt formatCode="#,##0" sourceLinked="1"/>
        <c:majorTickMark val="out"/>
        <c:minorTickMark val="none"/>
        <c:tickLblPos val="nextTo"/>
        <c:crossAx val="142969088"/>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9D-48C1-9F87-37BB87D4097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8C1-9F87-37BB87D4097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D-48C1-9F87-37BB87D4097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9D-48C1-9F87-37BB87D40976}"/>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9D-48C1-9F87-37BB87D40976}"/>
                </c:ext>
              </c:extLst>
            </c:dLbl>
            <c:dLbl>
              <c:idx val="10"/>
              <c:layout>
                <c:manualLayout>
                  <c:x val="-3.5009021916752023E-2"/>
                  <c:y val="-4.4473094344884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9D-48C1-9F87-37BB87D40976}"/>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9D-48C1-9F87-37BB87D40976}"/>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9D-48C1-9F87-37BB87D40976}"/>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9D-48C1-9F87-37BB87D4097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9D-48C1-9F87-37BB87D40976}"/>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9D-48C1-9F87-37BB87D40976}"/>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9D-48C1-9F87-37BB87D40976}"/>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9D-48C1-9F87-37BB87D40976}"/>
                </c:ext>
              </c:extLst>
            </c:dLbl>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Berechnungen!$W$12:$W$36</c:f>
              <c:numCache>
                <c:formatCode>_(* #,##0.00_);_(* \(#,##0.00\);_(* "-"??_);_(@_)</c:formatCode>
                <c:ptCount val="25"/>
                <c:pt idx="0">
                  <c:v>13.8</c:v>
                </c:pt>
                <c:pt idx="1">
                  <c:v>14.076000000000001</c:v>
                </c:pt>
                <c:pt idx="2">
                  <c:v>14.357520000000001</c:v>
                </c:pt>
                <c:pt idx="3">
                  <c:v>14.644670399999999</c:v>
                </c:pt>
                <c:pt idx="4">
                  <c:v>14.937563808000002</c:v>
                </c:pt>
                <c:pt idx="5">
                  <c:v>15.236315084160001</c:v>
                </c:pt>
                <c:pt idx="6">
                  <c:v>15.541041385843201</c:v>
                </c:pt>
                <c:pt idx="7">
                  <c:v>15.851862213560061</c:v>
                </c:pt>
                <c:pt idx="8">
                  <c:v>16.168899457831266</c:v>
                </c:pt>
                <c:pt idx="9">
                  <c:v>16.492277446987888</c:v>
                </c:pt>
                <c:pt idx="10">
                  <c:v>16.82212299592765</c:v>
                </c:pt>
                <c:pt idx="11">
                  <c:v>17.158565455846198</c:v>
                </c:pt>
                <c:pt idx="12">
                  <c:v>17.501736764963127</c:v>
                </c:pt>
                <c:pt idx="13">
                  <c:v>17.851771500262387</c:v>
                </c:pt>
                <c:pt idx="14">
                  <c:v>18.208806930267635</c:v>
                </c:pt>
                <c:pt idx="15">
                  <c:v>18.572983068872983</c:v>
                </c:pt>
                <c:pt idx="16">
                  <c:v>18.944442730250444</c:v>
                </c:pt>
                <c:pt idx="17">
                  <c:v>19.323331584855453</c:v>
                </c:pt>
                <c:pt idx="18">
                  <c:v>19.709798216552564</c:v>
                </c:pt>
                <c:pt idx="19">
                  <c:v>20.103994180883614</c:v>
                </c:pt>
                <c:pt idx="20">
                  <c:v>20.506074064501291</c:v>
                </c:pt>
                <c:pt idx="21">
                  <c:v>20.916195545791311</c:v>
                </c:pt>
                <c:pt idx="22">
                  <c:v>21.334519456707142</c:v>
                </c:pt>
                <c:pt idx="23">
                  <c:v>21.761209845841279</c:v>
                </c:pt>
                <c:pt idx="24">
                  <c:v>22.196434042758106</c:v>
                </c:pt>
              </c:numCache>
            </c:numRef>
          </c:val>
          <c:smooth val="0"/>
          <c:extLst>
            <c:ext xmlns:c16="http://schemas.microsoft.com/office/drawing/2014/chart" uri="{C3380CC4-5D6E-409C-BE32-E72D297353CC}">
              <c16:uniqueId val="{0000000D-7B9D-48C1-9F87-37BB87D40976}"/>
            </c:ext>
          </c:extLst>
        </c:ser>
        <c:dLbls>
          <c:showLegendKey val="0"/>
          <c:showVal val="0"/>
          <c:showCatName val="0"/>
          <c:showSerName val="0"/>
          <c:showPercent val="0"/>
          <c:showBubbleSize val="0"/>
        </c:dLbls>
        <c:marker val="1"/>
        <c:smooth val="0"/>
        <c:axId val="144261120"/>
        <c:axId val="144263040"/>
      </c:lineChart>
      <c:catAx>
        <c:axId val="144261120"/>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44263040"/>
        <c:crosses val="autoZero"/>
        <c:auto val="1"/>
        <c:lblAlgn val="ctr"/>
        <c:lblOffset val="100"/>
        <c:tickLblSkip val="1"/>
        <c:tickMarkSkip val="2"/>
        <c:noMultiLvlLbl val="0"/>
      </c:catAx>
      <c:valAx>
        <c:axId val="14426304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426112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extLst>
              <c:ext xmlns:c16="http://schemas.microsoft.com/office/drawing/2014/chart" uri="{C3380CC4-5D6E-409C-BE32-E72D297353CC}">
                <c16:uniqueId val="{00000001-3869-4967-9419-9E645BE49974}"/>
              </c:ext>
            </c:extLst>
          </c:dPt>
          <c:dPt>
            <c:idx val="1"/>
            <c:bubble3D val="0"/>
            <c:explosion val="9"/>
            <c:spPr>
              <a:solidFill>
                <a:srgbClr val="71706C"/>
              </a:solidFill>
              <a:ln w="9525">
                <a:noFill/>
              </a:ln>
            </c:spPr>
            <c:extLst>
              <c:ext xmlns:c16="http://schemas.microsoft.com/office/drawing/2014/chart" uri="{C3380CC4-5D6E-409C-BE32-E72D297353CC}">
                <c16:uniqueId val="{00000003-3869-4967-9419-9E645BE49974}"/>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numRef>
              <c:f>Eingabe!$H$74</c:f>
              <c:numCache>
                <c:formatCode>General</c:formatCode>
                <c:ptCount val="1"/>
                <c:pt idx="0">
                  <c:v>70</c:v>
                </c:pt>
              </c:numCache>
            </c:numRef>
          </c:cat>
          <c:val>
            <c:numRef>
              <c:f>Eingabe!$H$73:$H$74</c:f>
              <c:numCache>
                <c:formatCode>General</c:formatCode>
                <c:ptCount val="2"/>
                <c:pt idx="0">
                  <c:v>30</c:v>
                </c:pt>
                <c:pt idx="1">
                  <c:v>70</c:v>
                </c:pt>
              </c:numCache>
            </c:numRef>
          </c:val>
          <c:extLst>
            <c:ext xmlns:c16="http://schemas.microsoft.com/office/drawing/2014/chart" uri="{C3380CC4-5D6E-409C-BE32-E72D297353CC}">
              <c16:uniqueId val="{00000004-3869-4967-9419-9E645BE4997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Eingabe!$I$76</c:f>
              <c:strCache>
                <c:ptCount val="1"/>
                <c:pt idx="0">
                  <c:v>[€/kWh]</c:v>
                </c:pt>
              </c:strCache>
            </c:strRef>
          </c:cat>
          <c:val>
            <c:numRef>
              <c:f>Eingabe!$H$76</c:f>
              <c:numCache>
                <c:formatCode>0.000</c:formatCode>
                <c:ptCount val="1"/>
                <c:pt idx="0">
                  <c:v>0.25</c:v>
                </c:pt>
              </c:numCache>
            </c:numRef>
          </c:val>
          <c:extLst>
            <c:ext xmlns:c16="http://schemas.microsoft.com/office/drawing/2014/chart" uri="{C3380CC4-5D6E-409C-BE32-E72D297353CC}">
              <c16:uniqueId val="{00000000-C726-442B-8ABD-C90D1734F36C}"/>
            </c:ext>
          </c:extLst>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26-442B-8ABD-C90D1734F36C}"/>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Eingabe!$H$79</c:f>
              <c:numCache>
                <c:formatCode>0.0000</c:formatCode>
                <c:ptCount val="1"/>
                <c:pt idx="0">
                  <c:v>0.13800000000000001</c:v>
                </c:pt>
              </c:numCache>
            </c:numRef>
          </c:val>
          <c:extLst>
            <c:ext xmlns:c16="http://schemas.microsoft.com/office/drawing/2014/chart" uri="{C3380CC4-5D6E-409C-BE32-E72D297353CC}">
              <c16:uniqueId val="{00000002-C726-442B-8ABD-C90D1734F36C}"/>
            </c:ext>
          </c:extLst>
        </c:ser>
        <c:ser>
          <c:idx val="1"/>
          <c:order val="2"/>
          <c:tx>
            <c:v>Vergütung bei Überschusseinspeisung</c:v>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Eingabe!$H$77</c:f>
              <c:numCache>
                <c:formatCode>0.000</c:formatCode>
                <c:ptCount val="1"/>
                <c:pt idx="0">
                  <c:v>0.09</c:v>
                </c:pt>
              </c:numCache>
            </c:numRef>
          </c:val>
          <c:extLst>
            <c:ext xmlns:c16="http://schemas.microsoft.com/office/drawing/2014/chart" uri="{C3380CC4-5D6E-409C-BE32-E72D297353CC}">
              <c16:uniqueId val="{00000003-C726-442B-8ABD-C90D1734F36C}"/>
            </c:ext>
          </c:extLst>
        </c:ser>
        <c:dLbls>
          <c:showLegendKey val="0"/>
          <c:showVal val="0"/>
          <c:showCatName val="0"/>
          <c:showSerName val="0"/>
          <c:showPercent val="0"/>
          <c:showBubbleSize val="0"/>
        </c:dLbls>
        <c:gapWidth val="150"/>
        <c:overlap val="50"/>
        <c:axId val="146653184"/>
        <c:axId val="146654720"/>
      </c:barChart>
      <c:catAx>
        <c:axId val="146653184"/>
        <c:scaling>
          <c:orientation val="minMax"/>
        </c:scaling>
        <c:delete val="1"/>
        <c:axPos val="l"/>
        <c:numFmt formatCode="General" sourceLinked="0"/>
        <c:majorTickMark val="out"/>
        <c:minorTickMark val="none"/>
        <c:tickLblPos val="nextTo"/>
        <c:crossAx val="146654720"/>
        <c:crosses val="autoZero"/>
        <c:auto val="1"/>
        <c:lblAlgn val="ctr"/>
        <c:lblOffset val="100"/>
        <c:noMultiLvlLbl val="0"/>
      </c:catAx>
      <c:valAx>
        <c:axId val="146654720"/>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6653184"/>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2"/>
                <c:pt idx="0">
                  <c:v>Barwerte</c:v>
                </c:pt>
                <c:pt idx="1">
                  <c:v>[€]</c:v>
                </c:pt>
              </c:strCache>
            </c:strRef>
          </c:tx>
          <c:spPr>
            <a:solidFill>
              <a:srgbClr val="015198"/>
            </a:solidFill>
            <a:ln>
              <a:noFill/>
            </a:ln>
          </c:spPr>
          <c:invertIfNegative val="1"/>
          <c:val>
            <c:numRef>
              <c:f>Berechnungen!$K$12:$K$36</c:f>
              <c:numCache>
                <c:formatCode>#,##0</c:formatCode>
                <c:ptCount val="25"/>
                <c:pt idx="0">
                  <c:v>1985.2556470588245</c:v>
                </c:pt>
                <c:pt idx="1">
                  <c:v>1934.956495628368</c:v>
                </c:pt>
                <c:pt idx="2">
                  <c:v>1885.8700677111603</c:v>
                </c:pt>
                <c:pt idx="3">
                  <c:v>1837.9671242787531</c:v>
                </c:pt>
                <c:pt idx="4">
                  <c:v>1791.2191312620532</c:v>
                </c:pt>
                <c:pt idx="5">
                  <c:v>1745.5982425545963</c:v>
                </c:pt>
                <c:pt idx="6">
                  <c:v>1701.0772834256197</c:v>
                </c:pt>
                <c:pt idx="7">
                  <c:v>1657.6297343330468</c:v>
                </c:pt>
                <c:pt idx="8">
                  <c:v>1615.2297151267485</c:v>
                </c:pt>
                <c:pt idx="9">
                  <c:v>1573.8519696326564</c:v>
                </c:pt>
                <c:pt idx="10">
                  <c:v>1533.4718506085724</c:v>
                </c:pt>
                <c:pt idx="11">
                  <c:v>1494.065305062679</c:v>
                </c:pt>
                <c:pt idx="12">
                  <c:v>-646.40044154532723</c:v>
                </c:pt>
                <c:pt idx="13">
                  <c:v>1418.0796080705468</c:v>
                </c:pt>
                <c:pt idx="14">
                  <c:v>1381.4551946639183</c:v>
                </c:pt>
                <c:pt idx="15">
                  <c:v>1345.7138038537753</c:v>
                </c:pt>
                <c:pt idx="16">
                  <c:v>1310.834145772694</c:v>
                </c:pt>
                <c:pt idx="17">
                  <c:v>1276.7954438565989</c:v>
                </c:pt>
                <c:pt idx="18">
                  <c:v>1243.577422468906</c:v>
                </c:pt>
                <c:pt idx="19">
                  <c:v>1211.1602948230516</c:v>
                </c:pt>
                <c:pt idx="20">
                  <c:v>1179.5247511962134</c:v>
                </c:pt>
                <c:pt idx="21">
                  <c:v>1148.6519474271975</c:v>
                </c:pt>
                <c:pt idx="22">
                  <c:v>1118.5234936916486</c:v>
                </c:pt>
                <c:pt idx="23">
                  <c:v>1089.1214435478862</c:v>
                </c:pt>
                <c:pt idx="24">
                  <c:v>1060.4282832468552</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 xmlns:c16="http://schemas.microsoft.com/office/drawing/2014/chart" uri="{C3380CC4-5D6E-409C-BE32-E72D297353CC}">
              <c16:uniqueId val="{00000000-DE0B-41A7-A755-FA69F160C972}"/>
            </c:ext>
          </c:extLst>
        </c:ser>
        <c:dLbls>
          <c:showLegendKey val="0"/>
          <c:showVal val="0"/>
          <c:showCatName val="0"/>
          <c:showSerName val="0"/>
          <c:showPercent val="0"/>
          <c:showBubbleSize val="0"/>
        </c:dLbls>
        <c:gapWidth val="125"/>
        <c:axId val="148230528"/>
        <c:axId val="148232448"/>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1985.2556470588245</c:v>
                </c:pt>
                <c:pt idx="1">
                  <c:v>1934.956495628368</c:v>
                </c:pt>
                <c:pt idx="2">
                  <c:v>1885.8700677111603</c:v>
                </c:pt>
                <c:pt idx="3">
                  <c:v>1837.9671242787531</c:v>
                </c:pt>
                <c:pt idx="4">
                  <c:v>1791.2191312620532</c:v>
                </c:pt>
                <c:pt idx="5">
                  <c:v>1745.5982425545963</c:v>
                </c:pt>
                <c:pt idx="6">
                  <c:v>1701.0772834256197</c:v>
                </c:pt>
                <c:pt idx="7">
                  <c:v>1657.6297343330468</c:v>
                </c:pt>
                <c:pt idx="8">
                  <c:v>1615.2297151267485</c:v>
                </c:pt>
                <c:pt idx="9">
                  <c:v>1573.8519696326564</c:v>
                </c:pt>
                <c:pt idx="10">
                  <c:v>1533.4718506085724</c:v>
                </c:pt>
                <c:pt idx="11">
                  <c:v>1494.065305062679</c:v>
                </c:pt>
                <c:pt idx="12">
                  <c:v>-646.40044154532723</c:v>
                </c:pt>
                <c:pt idx="13">
                  <c:v>1418.0796080705468</c:v>
                </c:pt>
                <c:pt idx="14">
                  <c:v>1381.4551946639183</c:v>
                </c:pt>
                <c:pt idx="15">
                  <c:v>1345.7138038537753</c:v>
                </c:pt>
                <c:pt idx="16">
                  <c:v>1310.834145772694</c:v>
                </c:pt>
                <c:pt idx="17">
                  <c:v>1276.7954438565989</c:v>
                </c:pt>
                <c:pt idx="18">
                  <c:v>1243.577422468906</c:v>
                </c:pt>
                <c:pt idx="19">
                  <c:v>1211.1602948230516</c:v>
                </c:pt>
                <c:pt idx="20">
                  <c:v>1179.5247511962134</c:v>
                </c:pt>
                <c:pt idx="21">
                  <c:v>1148.6519474271975</c:v>
                </c:pt>
                <c:pt idx="22">
                  <c:v>1118.5234936916486</c:v>
                </c:pt>
                <c:pt idx="23">
                  <c:v>1089.1214435478862</c:v>
                </c:pt>
                <c:pt idx="24">
                  <c:v>1060.4282832468552</c:v>
                </c:pt>
              </c:numCache>
            </c:numRef>
          </c:val>
          <c:smooth val="0"/>
          <c:extLst>
            <c:ext xmlns:c16="http://schemas.microsoft.com/office/drawing/2014/chart" uri="{C3380CC4-5D6E-409C-BE32-E72D297353CC}">
              <c16:uniqueId val="{00000001-DE0B-41A7-A755-FA69F160C972}"/>
            </c:ext>
          </c:extLst>
        </c:ser>
        <c:dLbls>
          <c:showLegendKey val="0"/>
          <c:showVal val="0"/>
          <c:showCatName val="0"/>
          <c:showSerName val="0"/>
          <c:showPercent val="0"/>
          <c:showBubbleSize val="0"/>
        </c:dLbls>
        <c:marker val="1"/>
        <c:smooth val="0"/>
        <c:axId val="148230528"/>
        <c:axId val="148232448"/>
      </c:lineChart>
      <c:catAx>
        <c:axId val="148230528"/>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8232448"/>
        <c:crosses val="autoZero"/>
        <c:auto val="1"/>
        <c:lblAlgn val="ctr"/>
        <c:lblOffset val="100"/>
        <c:noMultiLvlLbl val="0"/>
      </c:catAx>
      <c:valAx>
        <c:axId val="148232448"/>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8230528"/>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Eingabe!$H$103</c:f>
              <c:numCache>
                <c:formatCode>0.000</c:formatCode>
                <c:ptCount val="1"/>
                <c:pt idx="0">
                  <c:v>0.25</c:v>
                </c:pt>
              </c:numCache>
            </c:numRef>
          </c:val>
          <c:extLst>
            <c:ext xmlns:c16="http://schemas.microsoft.com/office/drawing/2014/chart" uri="{C3380CC4-5D6E-409C-BE32-E72D297353CC}">
              <c16:uniqueId val="{00000000-09BD-4801-8BD3-39C2EE2658A5}"/>
            </c:ext>
          </c:extLst>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D-4801-8BD3-39C2EE2658A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Berechnungen!$S$12</c:f>
              <c:numCache>
                <c:formatCode>_(* #,##0.0000_);_(* \(#,##0.0000\);_(* "-"??_);_(@_)</c:formatCode>
                <c:ptCount val="1"/>
                <c:pt idx="0">
                  <c:v>7.4999999999999997E-2</c:v>
                </c:pt>
              </c:numCache>
            </c:numRef>
          </c:val>
          <c:extLst>
            <c:ext xmlns:c16="http://schemas.microsoft.com/office/drawing/2014/chart" uri="{C3380CC4-5D6E-409C-BE32-E72D297353CC}">
              <c16:uniqueId val="{00000002-09BD-4801-8BD3-39C2EE2658A5}"/>
            </c:ext>
          </c:extLst>
        </c:ser>
        <c:ser>
          <c:idx val="1"/>
          <c:order val="2"/>
          <c:tx>
            <c:strRef>
              <c:f>Eingabe!$I$55</c:f>
              <c:strCache>
                <c:ptCount val="1"/>
                <c:pt idx="0">
                  <c:v>Zu-/Abschläge</c:v>
                </c:pt>
              </c:strCache>
            </c:strRef>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Berechnungen!$H$64</c:f>
              <c:numCache>
                <c:formatCode>0.0000</c:formatCode>
                <c:ptCount val="1"/>
                <c:pt idx="0">
                  <c:v>0</c:v>
                </c:pt>
              </c:numCache>
            </c:numRef>
          </c:val>
          <c:extLst>
            <c:ext xmlns:c16="http://schemas.microsoft.com/office/drawing/2014/chart" uri="{C3380CC4-5D6E-409C-BE32-E72D297353CC}">
              <c16:uniqueId val="{00000003-09BD-4801-8BD3-39C2EE2658A5}"/>
            </c:ext>
          </c:extLst>
        </c:ser>
        <c:dLbls>
          <c:showLegendKey val="0"/>
          <c:showVal val="0"/>
          <c:showCatName val="0"/>
          <c:showSerName val="0"/>
          <c:showPercent val="0"/>
          <c:showBubbleSize val="0"/>
        </c:dLbls>
        <c:gapWidth val="150"/>
        <c:overlap val="50"/>
        <c:axId val="148311424"/>
        <c:axId val="148325504"/>
      </c:barChart>
      <c:catAx>
        <c:axId val="148311424"/>
        <c:scaling>
          <c:orientation val="minMax"/>
        </c:scaling>
        <c:delete val="1"/>
        <c:axPos val="l"/>
        <c:majorTickMark val="out"/>
        <c:minorTickMark val="none"/>
        <c:tickLblPos val="nextTo"/>
        <c:crossAx val="148325504"/>
        <c:crosses val="autoZero"/>
        <c:auto val="1"/>
        <c:lblAlgn val="ctr"/>
        <c:lblOffset val="100"/>
        <c:noMultiLvlLbl val="0"/>
      </c:catAx>
      <c:valAx>
        <c:axId val="148325504"/>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8311424"/>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extLst>
              <c:ext xmlns:c16="http://schemas.microsoft.com/office/drawing/2014/chart" uri="{C3380CC4-5D6E-409C-BE32-E72D297353CC}">
                <c16:uniqueId val="{00000001-182C-4477-9DDF-9CBD761FD02B}"/>
              </c:ext>
            </c:extLst>
          </c:dPt>
          <c:dPt>
            <c:idx val="1"/>
            <c:bubble3D val="0"/>
            <c:explosion val="6"/>
            <c:spPr>
              <a:solidFill>
                <a:schemeClr val="bg1"/>
              </a:solidFill>
              <a:ln w="25400">
                <a:noFill/>
              </a:ln>
            </c:spPr>
            <c:extLst>
              <c:ext xmlns:c16="http://schemas.microsoft.com/office/drawing/2014/chart" uri="{C3380CC4-5D6E-409C-BE32-E72D297353CC}">
                <c16:uniqueId val="{00000003-182C-4477-9DDF-9CBD761FD02B}"/>
              </c:ext>
            </c:extLst>
          </c:dPt>
          <c:dPt>
            <c:idx val="2"/>
            <c:bubble3D val="0"/>
            <c:explosion val="6"/>
            <c:spPr>
              <a:solidFill>
                <a:srgbClr val="71706C"/>
              </a:solidFill>
              <a:ln w="12700">
                <a:noFill/>
                <a:prstDash val="solid"/>
              </a:ln>
            </c:spPr>
            <c:extLst>
              <c:ext xmlns:c16="http://schemas.microsoft.com/office/drawing/2014/chart" uri="{C3380CC4-5D6E-409C-BE32-E72D297353CC}">
                <c16:uniqueId val="{00000005-182C-4477-9DDF-9CBD761FD02B}"/>
              </c:ext>
            </c:extLst>
          </c:dPt>
          <c:dPt>
            <c:idx val="3"/>
            <c:bubble3D val="0"/>
            <c:spPr>
              <a:solidFill>
                <a:srgbClr val="015198"/>
              </a:solidFill>
              <a:ln w="25400">
                <a:noFill/>
              </a:ln>
            </c:spPr>
            <c:extLst>
              <c:ext xmlns:c16="http://schemas.microsoft.com/office/drawing/2014/chart" uri="{C3380CC4-5D6E-409C-BE32-E72D297353CC}">
                <c16:uniqueId val="{00000007-182C-4477-9DDF-9CBD761FD02B}"/>
              </c:ext>
            </c:extLst>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5250</c:v>
                </c:pt>
                <c:pt idx="3" formatCode="_(* #,##0_);_(* \(#,##0\);_(* &quot;-&quot;??_);_(@_)">
                  <c:v>21000</c:v>
                </c:pt>
              </c:numCache>
            </c:numRef>
          </c:val>
          <c:extLst>
            <c:ext xmlns:c16="http://schemas.microsoft.com/office/drawing/2014/chart" uri="{C3380CC4-5D6E-409C-BE32-E72D297353CC}">
              <c16:uniqueId val="{00000008-182C-4477-9DDF-9CBD761FD02B}"/>
            </c:ext>
          </c:extLst>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784360116376255"/>
          <c:y val="0.11576552930883639"/>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extLst>
            <c:ext xmlns:c16="http://schemas.microsoft.com/office/drawing/2014/chart" uri="{C3380CC4-5D6E-409C-BE32-E72D297353CC}">
              <c16:uniqueId val="{00000000-9E84-4489-8DC0-85FC9F2F2941}"/>
            </c:ext>
          </c:extLst>
        </c:ser>
        <c:dLbls>
          <c:showLegendKey val="0"/>
          <c:showVal val="0"/>
          <c:showCatName val="0"/>
          <c:showSerName val="0"/>
          <c:showPercent val="0"/>
          <c:showBubbleSize val="0"/>
        </c:dLbls>
        <c:smooth val="0"/>
        <c:axId val="148602240"/>
        <c:axId val="148518016"/>
      </c:lineChart>
      <c:catAx>
        <c:axId val="14860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518016"/>
        <c:crosses val="autoZero"/>
        <c:auto val="1"/>
        <c:lblAlgn val="ctr"/>
        <c:lblOffset val="100"/>
        <c:tickLblSkip val="3"/>
        <c:tickMarkSkip val="1"/>
        <c:noMultiLvlLbl val="0"/>
      </c:catAx>
      <c:valAx>
        <c:axId val="1485180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602240"/>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klimaaktiv.at/"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3.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png"/><Relationship Id="rId3" Type="http://schemas.openxmlformats.org/officeDocument/2006/relationships/hyperlink" Target="http://www.klimaaktiv.at/" TargetMode="External"/><Relationship Id="rId7" Type="http://schemas.openxmlformats.org/officeDocument/2006/relationships/image" Target="../media/image6.emf"/><Relationship Id="rId12" Type="http://schemas.openxmlformats.org/officeDocument/2006/relationships/image" Target="../media/image11.png"/><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hyperlink" Target="http://www.linzag.at/portal/portal/linzag/metanavigationheader/home_1/centerWindow?action=1" TargetMode="External"/><Relationship Id="rId10" Type="http://schemas.openxmlformats.org/officeDocument/2006/relationships/image" Target="../media/image9.emf"/><Relationship Id="rId4" Type="http://schemas.openxmlformats.org/officeDocument/2006/relationships/image" Target="../media/image2.png"/><Relationship Id="rId9" Type="http://schemas.openxmlformats.org/officeDocument/2006/relationships/image" Target="../media/image8.emf"/><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18.jpeg"/><Relationship Id="rId3" Type="http://schemas.openxmlformats.org/officeDocument/2006/relationships/image" Target="../media/image15.emf"/><Relationship Id="rId7" Type="http://schemas.openxmlformats.org/officeDocument/2006/relationships/chart" Target="../charts/chart3.xml"/><Relationship Id="rId12"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4.jpeg"/><Relationship Id="rId16" Type="http://schemas.openxmlformats.org/officeDocument/2006/relationships/chart" Target="../charts/chart7.xml"/><Relationship Id="rId1" Type="http://schemas.openxmlformats.org/officeDocument/2006/relationships/hyperlink" Target="http://www.energyagency.at/" TargetMode="External"/><Relationship Id="rId6" Type="http://schemas.openxmlformats.org/officeDocument/2006/relationships/chart" Target="../charts/chart2.xml"/><Relationship Id="rId11" Type="http://schemas.openxmlformats.org/officeDocument/2006/relationships/image" Target="../media/image17.png"/><Relationship Id="rId5" Type="http://schemas.openxmlformats.org/officeDocument/2006/relationships/chart" Target="../charts/chart1.xml"/><Relationship Id="rId15" Type="http://schemas.openxmlformats.org/officeDocument/2006/relationships/chart" Target="../charts/chart6.xml"/><Relationship Id="rId10" Type="http://schemas.openxmlformats.org/officeDocument/2006/relationships/hyperlink" Target="http://www.klimaaktiv.at/" TargetMode="External"/><Relationship Id="rId4" Type="http://schemas.openxmlformats.org/officeDocument/2006/relationships/image" Target="../media/image16.jpeg"/><Relationship Id="rId9" Type="http://schemas.openxmlformats.org/officeDocument/2006/relationships/chart" Target="../charts/chart5.xml"/><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20.jpeg"/><Relationship Id="rId1" Type="http://schemas.openxmlformats.org/officeDocument/2006/relationships/hyperlink" Target="http://www.energyagency.at/" TargetMode="External"/><Relationship Id="rId6" Type="http://schemas.openxmlformats.org/officeDocument/2006/relationships/image" Target="../media/image22.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23.jpeg"/><Relationship Id="rId1" Type="http://schemas.openxmlformats.org/officeDocument/2006/relationships/hyperlink" Target="http://www.energyagency.at/" TargetMode="External"/><Relationship Id="rId6" Type="http://schemas.openxmlformats.org/officeDocument/2006/relationships/image" Target="../media/image25.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26.jpeg"/><Relationship Id="rId1" Type="http://schemas.openxmlformats.org/officeDocument/2006/relationships/hyperlink" Target="http://www.energyagency.at/" TargetMode="External"/><Relationship Id="rId6" Type="http://schemas.openxmlformats.org/officeDocument/2006/relationships/image" Target="../media/image28.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a:extLst>
            <a:ext uri="{FF2B5EF4-FFF2-40B4-BE49-F238E27FC236}">
              <a16:creationId xmlns:a16="http://schemas.microsoft.com/office/drawing/2014/main" id="{00000000-0008-0000-0000-00002B846E00}"/>
            </a:ext>
          </a:extLst>
        </xdr:cNvPr>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a:extLst>
            <a:ext uri="{FF2B5EF4-FFF2-40B4-BE49-F238E27FC236}">
              <a16:creationId xmlns:a16="http://schemas.microsoft.com/office/drawing/2014/main" id="{00000000-0008-0000-0000-00002C84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3"/>
          <a:extLst>
            <a:ext uri="{FF2B5EF4-FFF2-40B4-BE49-F238E27FC236}">
              <a16:creationId xmlns:a16="http://schemas.microsoft.com/office/drawing/2014/main" id="{00000000-0008-0000-0000-00002F84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5"/>
          <a:extLst>
            <a:ext uri="{FF2B5EF4-FFF2-40B4-BE49-F238E27FC236}">
              <a16:creationId xmlns:a16="http://schemas.microsoft.com/office/drawing/2014/main" id="{00000000-0008-0000-0000-00003084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5</xdr:row>
      <xdr:rowOff>47625</xdr:rowOff>
    </xdr:from>
    <xdr:to>
      <xdr:col>9</xdr:col>
      <xdr:colOff>630162</xdr:colOff>
      <xdr:row>57</xdr:row>
      <xdr:rowOff>48918</xdr:rowOff>
    </xdr:to>
    <xdr:pic>
      <xdr:nvPicPr>
        <xdr:cNvPr id="3" name="Grafik 2">
          <a:extLst>
            <a:ext uri="{FF2B5EF4-FFF2-40B4-BE49-F238E27FC236}">
              <a16:creationId xmlns:a16="http://schemas.microsoft.com/office/drawing/2014/main" id="{FEBD8857-89D8-71D4-2150-920EBAF5A9A5}"/>
            </a:ext>
          </a:extLst>
        </xdr:cNvPr>
        <xdr:cNvPicPr>
          <a:picLocks noChangeAspect="1"/>
        </xdr:cNvPicPr>
      </xdr:nvPicPr>
      <xdr:blipFill>
        <a:blip xmlns:r="http://schemas.openxmlformats.org/officeDocument/2006/relationships" r:embed="rId7"/>
        <a:stretch>
          <a:fillRect/>
        </a:stretch>
      </xdr:blipFill>
      <xdr:spPr>
        <a:xfrm>
          <a:off x="107156" y="892969"/>
          <a:ext cx="6952381" cy="8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a:extLst>
            <a:ext uri="{FF2B5EF4-FFF2-40B4-BE49-F238E27FC236}">
              <a16:creationId xmlns:a16="http://schemas.microsoft.com/office/drawing/2014/main" id="{00000000-0008-0000-0100-00004E8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3"/>
          <a:extLst>
            <a:ext uri="{FF2B5EF4-FFF2-40B4-BE49-F238E27FC236}">
              <a16:creationId xmlns:a16="http://schemas.microsoft.com/office/drawing/2014/main" id="{00000000-0008-0000-0100-00005188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5"/>
          <a:extLst>
            <a:ext uri="{FF2B5EF4-FFF2-40B4-BE49-F238E27FC236}">
              <a16:creationId xmlns:a16="http://schemas.microsoft.com/office/drawing/2014/main" id="{00000000-0008-0000-0100-0000528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114300</xdr:rowOff>
    </xdr:from>
    <xdr:to>
      <xdr:col>8</xdr:col>
      <xdr:colOff>609600</xdr:colOff>
      <xdr:row>44</xdr:row>
      <xdr:rowOff>142875</xdr:rowOff>
    </xdr:to>
    <xdr:pic>
      <xdr:nvPicPr>
        <xdr:cNvPr id="7243860" name="Grafik 16">
          <a:extLst>
            <a:ext uri="{FF2B5EF4-FFF2-40B4-BE49-F238E27FC236}">
              <a16:creationId xmlns:a16="http://schemas.microsoft.com/office/drawing/2014/main" id="{00000000-0008-0000-0100-000054886E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0" y="4857750"/>
          <a:ext cx="62293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104775</xdr:rowOff>
    </xdr:from>
    <xdr:to>
      <xdr:col>8</xdr:col>
      <xdr:colOff>600075</xdr:colOff>
      <xdr:row>29</xdr:row>
      <xdr:rowOff>57150</xdr:rowOff>
    </xdr:to>
    <xdr:pic>
      <xdr:nvPicPr>
        <xdr:cNvPr id="7243861" name="Grafik 18">
          <a:extLst>
            <a:ext uri="{FF2B5EF4-FFF2-40B4-BE49-F238E27FC236}">
              <a16:creationId xmlns:a16="http://schemas.microsoft.com/office/drawing/2014/main" id="{00000000-0008-0000-0100-000055886E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3686175"/>
          <a:ext cx="6229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18</xdr:row>
      <xdr:rowOff>104775</xdr:rowOff>
    </xdr:to>
    <xdr:pic>
      <xdr:nvPicPr>
        <xdr:cNvPr id="7243862" name="Grafik 19">
          <a:extLst>
            <a:ext uri="{FF2B5EF4-FFF2-40B4-BE49-F238E27FC236}">
              <a16:creationId xmlns:a16="http://schemas.microsoft.com/office/drawing/2014/main" id="{00000000-0008-0000-0100-000056886E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725" y="809625"/>
          <a:ext cx="62293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a:extLst>
            <a:ext uri="{FF2B5EF4-FFF2-40B4-BE49-F238E27FC236}">
              <a16:creationId xmlns:a16="http://schemas.microsoft.com/office/drawing/2014/main" id="{00000000-0008-0000-0100-000057886E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82549</xdr:colOff>
      <xdr:row>77</xdr:row>
      <xdr:rowOff>67943</xdr:rowOff>
    </xdr:from>
    <xdr:to>
      <xdr:col>8</xdr:col>
      <xdr:colOff>644525</xdr:colOff>
      <xdr:row>127</xdr:row>
      <xdr:rowOff>98561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1"/>
        <a:stretch>
          <a:fillRect/>
        </a:stretch>
      </xdr:blipFill>
      <xdr:spPr>
        <a:xfrm>
          <a:off x="82549" y="12742543"/>
          <a:ext cx="6454776" cy="8285618"/>
        </a:xfrm>
        <a:prstGeom prst="rect">
          <a:avLst/>
        </a:prstGeom>
      </xdr:spPr>
    </xdr:pic>
    <xdr:clientData/>
  </xdr:twoCellAnchor>
  <xdr:twoCellAnchor editAs="oneCell">
    <xdr:from>
      <xdr:col>0</xdr:col>
      <xdr:colOff>76200</xdr:colOff>
      <xdr:row>130</xdr:row>
      <xdr:rowOff>152399</xdr:rowOff>
    </xdr:from>
    <xdr:to>
      <xdr:col>8</xdr:col>
      <xdr:colOff>682742</xdr:colOff>
      <xdr:row>170</xdr:row>
      <xdr:rowOff>152400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2"/>
        <a:stretch>
          <a:fillRect/>
        </a:stretch>
      </xdr:blipFill>
      <xdr:spPr>
        <a:xfrm>
          <a:off x="76200" y="21577299"/>
          <a:ext cx="6499342" cy="6604001"/>
        </a:xfrm>
        <a:prstGeom prst="rect">
          <a:avLst/>
        </a:prstGeom>
      </xdr:spPr>
    </xdr:pic>
    <xdr:clientData/>
  </xdr:twoCellAnchor>
  <xdr:twoCellAnchor editAs="oneCell">
    <xdr:from>
      <xdr:col>0</xdr:col>
      <xdr:colOff>38100</xdr:colOff>
      <xdr:row>190</xdr:row>
      <xdr:rowOff>101600</xdr:rowOff>
    </xdr:from>
    <xdr:to>
      <xdr:col>8</xdr:col>
      <xdr:colOff>719979</xdr:colOff>
      <xdr:row>250</xdr:row>
      <xdr:rowOff>63500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38100" y="31432500"/>
          <a:ext cx="6574679" cy="9867900"/>
        </a:xfrm>
        <a:prstGeom prst="rect">
          <a:avLst/>
        </a:prstGeom>
      </xdr:spPr>
    </xdr:pic>
    <xdr:clientData/>
  </xdr:twoCellAnchor>
  <xdr:twoCellAnchor editAs="oneCell">
    <xdr:from>
      <xdr:col>0</xdr:col>
      <xdr:colOff>12700</xdr:colOff>
      <xdr:row>252</xdr:row>
      <xdr:rowOff>154244</xdr:rowOff>
    </xdr:from>
    <xdr:to>
      <xdr:col>8</xdr:col>
      <xdr:colOff>668498</xdr:colOff>
      <xdr:row>297</xdr:row>
      <xdr:rowOff>12700</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4"/>
        <a:stretch>
          <a:fillRect/>
        </a:stretch>
      </xdr:blipFill>
      <xdr:spPr>
        <a:xfrm>
          <a:off x="12700" y="41721344"/>
          <a:ext cx="6548598" cy="7287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59267</xdr:colOff>
      <xdr:row>0</xdr:row>
      <xdr:rowOff>95250</xdr:rowOff>
    </xdr:from>
    <xdr:to>
      <xdr:col>6</xdr:col>
      <xdr:colOff>609600</xdr:colOff>
      <xdr:row>3</xdr:row>
      <xdr:rowOff>128800</xdr:rowOff>
    </xdr:to>
    <xdr:pic>
      <xdr:nvPicPr>
        <xdr:cNvPr id="7212189" name="Picture 336" descr="Österreichische Energie Agentur">
          <a:hlinkClick xmlns:r="http://schemas.openxmlformats.org/officeDocument/2006/relationships" r:id="rId1"/>
          <a:extLst>
            <a:ext uri="{FF2B5EF4-FFF2-40B4-BE49-F238E27FC236}">
              <a16:creationId xmlns:a16="http://schemas.microsoft.com/office/drawing/2014/main" id="{00000000-0008-0000-0200-00009D0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7600" y="95250"/>
          <a:ext cx="1253067" cy="54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95250</xdr:colOff>
      <xdr:row>29</xdr:row>
      <xdr:rowOff>0</xdr:rowOff>
    </xdr:to>
    <xdr:pic>
      <xdr:nvPicPr>
        <xdr:cNvPr id="7212192" name="Picture 74" descr="Neigung_fertig">
          <a:extLst>
            <a:ext uri="{FF2B5EF4-FFF2-40B4-BE49-F238E27FC236}">
              <a16:creationId xmlns:a16="http://schemas.microsoft.com/office/drawing/2014/main" id="{00000000-0008-0000-0200-0000A00C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a:extLst>
            <a:ext uri="{FF2B5EF4-FFF2-40B4-BE49-F238E27FC236}">
              <a16:creationId xmlns:a16="http://schemas.microsoft.com/office/drawing/2014/main" id="{00000000-0008-0000-0200-0000A10C6E00}"/>
            </a:ext>
          </a:extLst>
        </xdr:cNvPr>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95250</xdr:colOff>
      <xdr:row>23</xdr:row>
      <xdr:rowOff>38100</xdr:rowOff>
    </xdr:to>
    <xdr:pic>
      <xdr:nvPicPr>
        <xdr:cNvPr id="7212194" name="Grafik 1">
          <a:extLst>
            <a:ext uri="{FF2B5EF4-FFF2-40B4-BE49-F238E27FC236}">
              <a16:creationId xmlns:a16="http://schemas.microsoft.com/office/drawing/2014/main" id="{00000000-0008-0000-0200-0000A20C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a:extLst>
            <a:ext uri="{FF2B5EF4-FFF2-40B4-BE49-F238E27FC236}">
              <a16:creationId xmlns:a16="http://schemas.microsoft.com/office/drawing/2014/main" id="{00000000-0008-0000-0200-0000A3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a:extLst>
            <a:ext uri="{FF2B5EF4-FFF2-40B4-BE49-F238E27FC236}">
              <a16:creationId xmlns:a16="http://schemas.microsoft.com/office/drawing/2014/main" id="{00000000-0008-0000-0200-0000A4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a:extLst>
            <a:ext uri="{FF2B5EF4-FFF2-40B4-BE49-F238E27FC236}">
              <a16:creationId xmlns:a16="http://schemas.microsoft.com/office/drawing/2014/main" id="{00000000-0008-0000-0200-0000A5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a:extLst>
            <a:ext uri="{FF2B5EF4-FFF2-40B4-BE49-F238E27FC236}">
              <a16:creationId xmlns:a16="http://schemas.microsoft.com/office/drawing/2014/main" id="{00000000-0008-0000-0200-0000A6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a:extLst>
            <a:ext uri="{FF2B5EF4-FFF2-40B4-BE49-F238E27FC236}">
              <a16:creationId xmlns:a16="http://schemas.microsoft.com/office/drawing/2014/main" id="{00000000-0008-0000-0200-0000A7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a:extLst>
            <a:ext uri="{FF2B5EF4-FFF2-40B4-BE49-F238E27FC236}">
              <a16:creationId xmlns:a16="http://schemas.microsoft.com/office/drawing/2014/main" id="{00000000-0008-0000-0200-000007000000}"/>
            </a:ext>
          </a:extLst>
        </xdr:cNvPr>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59055</xdr:colOff>
      <xdr:row>3</xdr:row>
      <xdr:rowOff>129540</xdr:rowOff>
    </xdr:to>
    <xdr:pic>
      <xdr:nvPicPr>
        <xdr:cNvPr id="7212201" name="Grafik 2">
          <a:hlinkClick xmlns:r="http://schemas.openxmlformats.org/officeDocument/2006/relationships" r:id="rId10"/>
          <a:extLst>
            <a:ext uri="{FF2B5EF4-FFF2-40B4-BE49-F238E27FC236}">
              <a16:creationId xmlns:a16="http://schemas.microsoft.com/office/drawing/2014/main" id="{00000000-0008-0000-0200-0000A90C6E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334434</xdr:colOff>
      <xdr:row>1</xdr:row>
      <xdr:rowOff>63500</xdr:rowOff>
    </xdr:from>
    <xdr:to>
      <xdr:col>12</xdr:col>
      <xdr:colOff>1059</xdr:colOff>
      <xdr:row>3</xdr:row>
      <xdr:rowOff>1587</xdr:rowOff>
    </xdr:to>
    <xdr:pic>
      <xdr:nvPicPr>
        <xdr:cNvPr id="7212202" name="Grafik 2">
          <a:hlinkClick xmlns:r="http://schemas.openxmlformats.org/officeDocument/2006/relationships" r:id="rId12"/>
          <a:extLst>
            <a:ext uri="{FF2B5EF4-FFF2-40B4-BE49-F238E27FC236}">
              <a16:creationId xmlns:a16="http://schemas.microsoft.com/office/drawing/2014/main" id="{00000000-0008-0000-0200-0000AA0C6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19034" y="232833"/>
          <a:ext cx="2229908" cy="264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590550</xdr:colOff>
      <xdr:row>39</xdr:row>
      <xdr:rowOff>97155</xdr:rowOff>
    </xdr:to>
    <xdr:pic>
      <xdr:nvPicPr>
        <xdr:cNvPr id="7212203" name="Grafik 7">
          <a:extLst>
            <a:ext uri="{FF2B5EF4-FFF2-40B4-BE49-F238E27FC236}">
              <a16:creationId xmlns:a16="http://schemas.microsoft.com/office/drawing/2014/main" id="{00000000-0008-0000-0200-0000AB0C6E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a:extLst>
            <a:ext uri="{FF2B5EF4-FFF2-40B4-BE49-F238E27FC236}">
              <a16:creationId xmlns:a16="http://schemas.microsoft.com/office/drawing/2014/main" id="{00000000-0008-0000-0200-0000AD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12</xdr:col>
      <xdr:colOff>29633</xdr:colOff>
      <xdr:row>10</xdr:row>
      <xdr:rowOff>56093</xdr:rowOff>
    </xdr:from>
    <xdr:to>
      <xdr:col>18</xdr:col>
      <xdr:colOff>677333</xdr:colOff>
      <xdr:row>22</xdr:row>
      <xdr:rowOff>82551</xdr:rowOff>
    </xdr:to>
    <xdr:graphicFrame macro="">
      <xdr:nvGraphicFramePr>
        <xdr:cNvPr id="7212204" name="Förderquote">
          <a:extLst>
            <a:ext uri="{FF2B5EF4-FFF2-40B4-BE49-F238E27FC236}">
              <a16:creationId xmlns:a16="http://schemas.microsoft.com/office/drawing/2014/main" id="{00000000-0008-0000-0200-0000AC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a:extLst>
            <a:ext uri="{FF2B5EF4-FFF2-40B4-BE49-F238E27FC236}">
              <a16:creationId xmlns:a16="http://schemas.microsoft.com/office/drawing/2014/main" id="{00000000-0008-0000-0300-00001EA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3"/>
          <a:extLst>
            <a:ext uri="{FF2B5EF4-FFF2-40B4-BE49-F238E27FC236}">
              <a16:creationId xmlns:a16="http://schemas.microsoft.com/office/drawing/2014/main" id="{00000000-0008-0000-0300-000021A8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5"/>
          <a:extLst>
            <a:ext uri="{FF2B5EF4-FFF2-40B4-BE49-F238E27FC236}">
              <a16:creationId xmlns:a16="http://schemas.microsoft.com/office/drawing/2014/main" id="{00000000-0008-0000-0300-000022A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a:extLst>
            <a:ext uri="{FF2B5EF4-FFF2-40B4-BE49-F238E27FC236}">
              <a16:creationId xmlns:a16="http://schemas.microsoft.com/office/drawing/2014/main" id="{00000000-0008-0000-0400-00001EA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53340</xdr:rowOff>
    </xdr:to>
    <xdr:pic>
      <xdr:nvPicPr>
        <xdr:cNvPr id="7253025" name="Grafik 8">
          <a:hlinkClick xmlns:r="http://schemas.openxmlformats.org/officeDocument/2006/relationships" r:id="rId3"/>
          <a:extLst>
            <a:ext uri="{FF2B5EF4-FFF2-40B4-BE49-F238E27FC236}">
              <a16:creationId xmlns:a16="http://schemas.microsoft.com/office/drawing/2014/main" id="{00000000-0008-0000-0400-000021AC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358140</xdr:colOff>
      <xdr:row>2</xdr:row>
      <xdr:rowOff>76200</xdr:rowOff>
    </xdr:to>
    <xdr:pic>
      <xdr:nvPicPr>
        <xdr:cNvPr id="7253026" name="Grafik 2">
          <a:hlinkClick xmlns:r="http://schemas.openxmlformats.org/officeDocument/2006/relationships" r:id="rId5"/>
          <a:extLst>
            <a:ext uri="{FF2B5EF4-FFF2-40B4-BE49-F238E27FC236}">
              <a16:creationId xmlns:a16="http://schemas.microsoft.com/office/drawing/2014/main" id="{00000000-0008-0000-0400-000022AC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a:extLst>
            <a:ext uri="{FF2B5EF4-FFF2-40B4-BE49-F238E27FC236}">
              <a16:creationId xmlns:a16="http://schemas.microsoft.com/office/drawing/2014/main" id="{00000000-0008-0000-0500-00001EB0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167640</xdr:colOff>
      <xdr:row>2</xdr:row>
      <xdr:rowOff>15240</xdr:rowOff>
    </xdr:to>
    <xdr:pic>
      <xdr:nvPicPr>
        <xdr:cNvPr id="7254049" name="Grafik 9">
          <a:hlinkClick xmlns:r="http://schemas.openxmlformats.org/officeDocument/2006/relationships" r:id="rId3"/>
          <a:extLst>
            <a:ext uri="{FF2B5EF4-FFF2-40B4-BE49-F238E27FC236}">
              <a16:creationId xmlns:a16="http://schemas.microsoft.com/office/drawing/2014/main" id="{00000000-0008-0000-0500-000021B0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548640</xdr:colOff>
      <xdr:row>1</xdr:row>
      <xdr:rowOff>95250</xdr:rowOff>
    </xdr:to>
    <xdr:pic>
      <xdr:nvPicPr>
        <xdr:cNvPr id="7254050" name="Grafik 2">
          <a:hlinkClick xmlns:r="http://schemas.openxmlformats.org/officeDocument/2006/relationships" r:id="rId5"/>
          <a:extLst>
            <a:ext uri="{FF2B5EF4-FFF2-40B4-BE49-F238E27FC236}">
              <a16:creationId xmlns:a16="http://schemas.microsoft.com/office/drawing/2014/main" id="{00000000-0008-0000-0500-000022B0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a:extLst>
            <a:ext uri="{FF2B5EF4-FFF2-40B4-BE49-F238E27FC236}">
              <a16:creationId xmlns:a16="http://schemas.microsoft.com/office/drawing/2014/main" id="{00000000-0008-0000-0800-00000CB4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a:extLst>
            <a:ext uri="{FF2B5EF4-FFF2-40B4-BE49-F238E27FC236}">
              <a16:creationId xmlns:a16="http://schemas.microsoft.com/office/drawing/2014/main" id="{00000000-0008-0000-0800-00000DB46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limaaktiv.at/tools/erneuerbare/pv_rechner.html"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em-ag.at/de/foerderung/photovoltaik/eag-investitionszuschuesse/" TargetMode="External"/><Relationship Id="rId3" Type="http://schemas.openxmlformats.org/officeDocument/2006/relationships/hyperlink" Target="https://www.ktn.gv.at/Service/Formulare-und-Leistungen" TargetMode="External"/><Relationship Id="rId7" Type="http://schemas.openxmlformats.org/officeDocument/2006/relationships/hyperlink" Target="https://pvaustria.at/rechtlicher-rahmen/" TargetMode="External"/><Relationship Id="rId2" Type="http://schemas.openxmlformats.org/officeDocument/2006/relationships/hyperlink" Target="https://www.salzburg.gv.at/wirtschaft_/Seiten/betriebliche-photovoltaik.aspx" TargetMode="External"/><Relationship Id="rId1" Type="http://schemas.openxmlformats.org/officeDocument/2006/relationships/hyperlink" Target="https://www.salzburg.gv.at/energie_/Seiten/photovoltaik-privat.aspx" TargetMode="External"/><Relationship Id="rId6" Type="http://schemas.openxmlformats.org/officeDocument/2006/relationships/hyperlink" Target="https://www.wien.gv.at/amtshelfer/bauen-wohnen/energie/alternativenergie/speicheranlagen.html" TargetMode="External"/><Relationship Id="rId11" Type="http://schemas.openxmlformats.org/officeDocument/2006/relationships/drawing" Target="../drawings/drawing6.xml"/><Relationship Id="rId5" Type="http://schemas.openxmlformats.org/officeDocument/2006/relationships/hyperlink" Target="https://www.wien.gv.at/amtshelfer/bauen-wohnen/energie/alternativenergie/oekostromanlagen.html" TargetMode="External"/><Relationship Id="rId10" Type="http://schemas.openxmlformats.org/officeDocument/2006/relationships/printerSettings" Target="../printerSettings/printerSettings6.bin"/><Relationship Id="rId4" Type="http://schemas.openxmlformats.org/officeDocument/2006/relationships/hyperlink" Target="https://www.ktn.gv.at/Service/Formulare-und-Leistungen" TargetMode="External"/><Relationship Id="rId9" Type="http://schemas.openxmlformats.org/officeDocument/2006/relationships/hyperlink" Target="https://www.bmk.gv.at/themen/klima_umwelt/energiewende/erneuerbare/foerderungen/pv/foerderung2024.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tabColor indexed="22"/>
  </sheetPr>
  <dimension ref="A4:M94"/>
  <sheetViews>
    <sheetView showRowColHeaders="0" zoomScale="80" zoomScaleNormal="80" zoomScaleSheetLayoutView="90" workbookViewId="0">
      <selection activeCell="M69" sqref="M69"/>
    </sheetView>
  </sheetViews>
  <sheetFormatPr baseColWidth="10" defaultColWidth="10.7109375" defaultRowHeight="12.75" x14ac:dyDescent="0.2"/>
  <cols>
    <col min="1" max="16384" width="10.7109375" style="54"/>
  </cols>
  <sheetData>
    <row r="4" spans="1:9" ht="9" customHeight="1" x14ac:dyDescent="0.2"/>
    <row r="5" spans="1:9" ht="18" x14ac:dyDescent="0.25">
      <c r="A5" s="480" t="s">
        <v>1204</v>
      </c>
      <c r="B5" s="480"/>
      <c r="C5" s="480"/>
      <c r="D5" s="480"/>
      <c r="E5" s="480"/>
      <c r="F5" s="480"/>
      <c r="G5" s="480"/>
      <c r="H5" s="480"/>
      <c r="I5" s="480"/>
    </row>
    <row r="6" spans="1:9" ht="15.75" customHeight="1" x14ac:dyDescent="0.25">
      <c r="A6" s="481"/>
      <c r="B6" s="482"/>
      <c r="C6" s="482"/>
      <c r="D6" s="482"/>
      <c r="E6" s="482"/>
      <c r="F6" s="482"/>
      <c r="G6" s="482"/>
      <c r="H6" s="482"/>
      <c r="I6" s="482"/>
    </row>
    <row r="14" spans="1:9" x14ac:dyDescent="0.2">
      <c r="B14" s="16"/>
      <c r="E14" s="3"/>
      <c r="F14" s="15"/>
      <c r="G14" s="3"/>
      <c r="H14" s="3"/>
    </row>
    <row r="15" spans="1:9" x14ac:dyDescent="0.2">
      <c r="E15" s="3"/>
      <c r="F15" s="15"/>
      <c r="G15" s="3"/>
      <c r="H15" s="3"/>
    </row>
    <row r="16" spans="1:9" x14ac:dyDescent="0.2">
      <c r="E16" s="3"/>
      <c r="F16" s="15"/>
      <c r="G16" s="3"/>
      <c r="H16" s="3"/>
    </row>
    <row r="17" spans="2:11" x14ac:dyDescent="0.2">
      <c r="E17" s="3"/>
      <c r="F17" s="15"/>
      <c r="G17" s="3"/>
      <c r="H17" s="3"/>
    </row>
    <row r="18" spans="2:11" x14ac:dyDescent="0.2">
      <c r="E18" s="3"/>
      <c r="F18" s="15"/>
      <c r="G18" s="3"/>
      <c r="H18" s="3"/>
    </row>
    <row r="20" spans="2:11" x14ac:dyDescent="0.2">
      <c r="B20" s="16"/>
    </row>
    <row r="21" spans="2:11" x14ac:dyDescent="0.2">
      <c r="E21" s="3"/>
      <c r="F21" s="15"/>
      <c r="G21" s="3"/>
      <c r="H21" s="3"/>
      <c r="I21" s="15"/>
      <c r="J21" s="15"/>
      <c r="K21" s="3"/>
    </row>
    <row r="22" spans="2:11" x14ac:dyDescent="0.2">
      <c r="E22" s="3"/>
      <c r="F22" s="15"/>
      <c r="G22" s="3"/>
      <c r="H22" s="3"/>
      <c r="I22" s="15"/>
      <c r="J22" s="15"/>
      <c r="K22" s="3"/>
    </row>
    <row r="23" spans="2:11" x14ac:dyDescent="0.2">
      <c r="I23" s="15"/>
      <c r="J23" s="15"/>
      <c r="K23" s="3"/>
    </row>
    <row r="24" spans="2:11" x14ac:dyDescent="0.2">
      <c r="I24" s="15"/>
      <c r="J24" s="15"/>
      <c r="K24" s="3"/>
    </row>
    <row r="25" spans="2:11" x14ac:dyDescent="0.2">
      <c r="I25" s="15"/>
      <c r="J25" s="15"/>
      <c r="K25" s="3"/>
    </row>
    <row r="26" spans="2:11" x14ac:dyDescent="0.2">
      <c r="I26" s="15"/>
      <c r="J26" s="15"/>
      <c r="K26" s="3"/>
    </row>
    <row r="27" spans="2:11" x14ac:dyDescent="0.2">
      <c r="B27" s="16"/>
      <c r="I27" s="15"/>
      <c r="J27" s="15"/>
      <c r="K27" s="3"/>
    </row>
    <row r="28" spans="2:11" x14ac:dyDescent="0.2">
      <c r="B28" s="59"/>
      <c r="I28" s="15"/>
      <c r="J28" s="15"/>
      <c r="K28" s="3"/>
    </row>
    <row r="29" spans="2: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69" spans="2:13" x14ac:dyDescent="0.2">
      <c r="B69" s="59"/>
      <c r="M69" s="83"/>
    </row>
    <row r="79" spans="2:13" x14ac:dyDescent="0.2">
      <c r="B79" s="59"/>
    </row>
    <row r="82" spans="2:11" x14ac:dyDescent="0.2">
      <c r="B82" s="16"/>
    </row>
    <row r="88" spans="2:11" x14ac:dyDescent="0.2">
      <c r="B88" s="16"/>
    </row>
    <row r="89" spans="2:11" x14ac:dyDescent="0.2">
      <c r="C89" s="56"/>
      <c r="K89" s="16"/>
    </row>
    <row r="90" spans="2:11" x14ac:dyDescent="0.2">
      <c r="C90" s="56"/>
    </row>
    <row r="91" spans="2:11" x14ac:dyDescent="0.2">
      <c r="D91" s="57"/>
      <c r="F91" s="58"/>
      <c r="K91" s="55"/>
    </row>
    <row r="92" spans="2:11" x14ac:dyDescent="0.2">
      <c r="D92" s="57"/>
      <c r="F92" s="58"/>
    </row>
    <row r="94" spans="2:11" x14ac:dyDescent="0.2">
      <c r="K94" s="55"/>
    </row>
  </sheetData>
  <sheetProtection algorithmName="SHA-512" hashValue="squ4gW/rTK7g46UxCuOBUpvvAYPCBdgCG105jBTjdXK7t11F8pI1tV5KqBqHEQg4n8t50+Rv4+Iq8PgtitLJdQ==" saltValue="zwmG/JHBICNldVOpfUDb+Q==" spinCount="100000"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tabColor indexed="22"/>
  </sheetPr>
  <dimension ref="A3:L135"/>
  <sheetViews>
    <sheetView showRowColHeaders="0" zoomScale="80" zoomScaleNormal="80" zoomScalePageLayoutView="50" workbookViewId="0">
      <selection activeCell="B22" sqref="B22:E22"/>
    </sheetView>
  </sheetViews>
  <sheetFormatPr baseColWidth="10" defaultColWidth="10.7109375" defaultRowHeight="12.75" x14ac:dyDescent="0.2"/>
  <cols>
    <col min="1" max="16384" width="10.7109375" style="54"/>
  </cols>
  <sheetData>
    <row r="3" spans="1:10" ht="6" customHeight="1" x14ac:dyDescent="0.2"/>
    <row r="4" spans="1:10" ht="6" customHeight="1" x14ac:dyDescent="0.2"/>
    <row r="5" spans="1:10" ht="18" x14ac:dyDescent="0.25">
      <c r="A5" s="480" t="s">
        <v>1204</v>
      </c>
      <c r="B5" s="480"/>
      <c r="C5" s="480"/>
      <c r="D5" s="480"/>
      <c r="E5" s="480"/>
      <c r="F5" s="480"/>
      <c r="G5" s="480"/>
      <c r="H5" s="480"/>
      <c r="I5" s="480"/>
      <c r="J5" s="114"/>
    </row>
    <row r="6" spans="1:10" ht="15.75" x14ac:dyDescent="0.25">
      <c r="A6" s="481"/>
      <c r="B6" s="482"/>
      <c r="C6" s="482"/>
      <c r="D6" s="482"/>
      <c r="E6" s="482"/>
      <c r="F6" s="482"/>
      <c r="G6" s="482"/>
      <c r="H6" s="482"/>
      <c r="I6" s="482"/>
    </row>
    <row r="14" spans="1:10" x14ac:dyDescent="0.2">
      <c r="B14" s="16"/>
      <c r="E14" s="3"/>
      <c r="F14" s="15"/>
      <c r="G14" s="3"/>
      <c r="H14" s="3"/>
    </row>
    <row r="15" spans="1:10" x14ac:dyDescent="0.2">
      <c r="E15" s="3"/>
      <c r="F15" s="15"/>
      <c r="G15" s="3"/>
      <c r="H15" s="3"/>
    </row>
    <row r="16" spans="1:10" x14ac:dyDescent="0.2">
      <c r="E16" s="3"/>
      <c r="F16" s="15"/>
      <c r="G16" s="3"/>
      <c r="H16" s="3"/>
    </row>
    <row r="17" spans="1:11" x14ac:dyDescent="0.2">
      <c r="E17" s="3"/>
      <c r="F17" s="15"/>
      <c r="G17" s="3"/>
      <c r="H17" s="3"/>
    </row>
    <row r="18" spans="1:11" x14ac:dyDescent="0.2">
      <c r="E18" s="3"/>
      <c r="F18" s="15"/>
      <c r="G18" s="3"/>
      <c r="H18" s="3"/>
    </row>
    <row r="20" spans="1:11" ht="15" x14ac:dyDescent="0.25">
      <c r="A20" s="130" t="s">
        <v>1709</v>
      </c>
      <c r="B20" s="130" t="s">
        <v>1708</v>
      </c>
      <c r="C20" s="130"/>
      <c r="D20" s="133"/>
      <c r="E20" s="131"/>
      <c r="F20" s="131"/>
      <c r="G20" s="131"/>
      <c r="H20" s="131"/>
    </row>
    <row r="21" spans="1:11" ht="15" x14ac:dyDescent="0.25">
      <c r="A21" s="131"/>
      <c r="B21" s="486" t="s">
        <v>2657</v>
      </c>
      <c r="C21" s="486"/>
      <c r="D21" s="130"/>
      <c r="E21" s="131"/>
      <c r="F21" s="132"/>
      <c r="G21" s="131"/>
      <c r="H21" s="131"/>
      <c r="I21" s="15"/>
      <c r="J21" s="15"/>
      <c r="K21" s="3"/>
    </row>
    <row r="22" spans="1:11" ht="15" x14ac:dyDescent="0.25">
      <c r="A22" s="130"/>
      <c r="B22" s="483" t="s">
        <v>2748</v>
      </c>
      <c r="C22" s="484"/>
      <c r="D22" s="484"/>
      <c r="E22" s="484"/>
      <c r="F22" s="134"/>
      <c r="G22" s="130"/>
      <c r="H22" s="130"/>
      <c r="I22" s="135"/>
      <c r="J22" s="15"/>
      <c r="K22" s="3"/>
    </row>
    <row r="23" spans="1:11" ht="15" x14ac:dyDescent="0.25">
      <c r="A23" s="130"/>
      <c r="B23" s="485"/>
      <c r="C23" s="484"/>
      <c r="D23" s="484"/>
      <c r="E23" s="484"/>
      <c r="F23" s="484"/>
      <c r="G23" s="484"/>
      <c r="H23" s="484"/>
      <c r="I23" s="135"/>
      <c r="J23" s="15"/>
      <c r="K23" s="3"/>
    </row>
    <row r="24" spans="1:11" x14ac:dyDescent="0.2">
      <c r="I24" s="15"/>
      <c r="J24" s="15"/>
      <c r="K24" s="3"/>
    </row>
    <row r="25" spans="1:11" x14ac:dyDescent="0.2">
      <c r="I25" s="15"/>
      <c r="J25" s="15"/>
      <c r="K25" s="3"/>
    </row>
    <row r="26" spans="1:11" x14ac:dyDescent="0.2">
      <c r="I26" s="15"/>
      <c r="J26" s="15"/>
      <c r="K26" s="3"/>
    </row>
    <row r="27" spans="1:11" x14ac:dyDescent="0.2">
      <c r="B27" s="16"/>
      <c r="I27" s="15"/>
      <c r="J27" s="15"/>
      <c r="K27" s="3"/>
    </row>
    <row r="28" spans="1:11" x14ac:dyDescent="0.2">
      <c r="B28" s="59"/>
      <c r="I28" s="15"/>
      <c r="J28" s="15"/>
      <c r="K28" s="3"/>
    </row>
    <row r="29" spans="1: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87" spans="2:2" x14ac:dyDescent="0.2">
      <c r="B87" s="59"/>
    </row>
    <row r="97" spans="2:11" x14ac:dyDescent="0.2">
      <c r="B97" s="59"/>
    </row>
    <row r="100" spans="2:11" x14ac:dyDescent="0.2">
      <c r="B100" s="16"/>
    </row>
    <row r="106" spans="2:11" x14ac:dyDescent="0.2">
      <c r="B106" s="16"/>
    </row>
    <row r="107" spans="2:11" x14ac:dyDescent="0.2">
      <c r="C107" s="56"/>
      <c r="K107" s="16"/>
    </row>
    <row r="108" spans="2:11" x14ac:dyDescent="0.2">
      <c r="C108" s="56"/>
    </row>
    <row r="109" spans="2:11" x14ac:dyDescent="0.2">
      <c r="D109" s="57"/>
      <c r="F109" s="58"/>
      <c r="K109" s="55"/>
    </row>
    <row r="110" spans="2:11" x14ac:dyDescent="0.2">
      <c r="D110" s="57"/>
      <c r="F110" s="58"/>
    </row>
    <row r="112" spans="2:11" x14ac:dyDescent="0.2">
      <c r="K112" s="55"/>
    </row>
    <row r="135" spans="1:1" x14ac:dyDescent="0.2">
      <c r="A135" s="83"/>
    </row>
  </sheetData>
  <sheetProtection algorithmName="SHA-512" hashValue="FzDOVFc68wq5ipAKkNHos7PdLJITVZJbgSKFla/YtLuAE8CIFoCBGqQ0Px6Ae34gyGLvChGGNhVcz1oL47dyRw==" saltValue="1RX5WdXlpzKmu/oGjiRprA==" spinCount="100000" sheet="1" objects="1" scenarios="1" selectLockedCells="1"/>
  <mergeCells count="5">
    <mergeCell ref="A5:I5"/>
    <mergeCell ref="A6:I6"/>
    <mergeCell ref="B22:E22"/>
    <mergeCell ref="B23:H23"/>
    <mergeCell ref="B21:C21"/>
  </mergeCells>
  <phoneticPr fontId="2" type="noConversion"/>
  <hyperlinks>
    <hyperlink ref="B21" r:id="rId1" xr:uid="{00000000-0004-0000-0100-000000000000}"/>
    <hyperlink ref="B22" r:id="rId2" display="http://www.klimaaktiv.at/tools/erneuerbare/pv_rechner.html" xr:uid="{00000000-0004-0000-0100-000001000000}"/>
  </hyperlinks>
  <printOptions horizontalCentered="1"/>
  <pageMargins left="0.59055118110236227" right="0.59055118110236227" top="0.59055118110236227" bottom="0.59055118110236227" header="0.51181102362204722" footer="0.51181102362204722"/>
  <pageSetup paperSize="9" scale="95" orientation="portrait" r:id="rId3"/>
  <headerFooter alignWithMargins="0"/>
  <rowBreaks count="5" manualBreakCount="5">
    <brk id="46" max="8" man="1"/>
    <brk id="75" max="8" man="1"/>
    <brk id="130" max="8" man="1"/>
    <brk id="190" max="8" man="1"/>
    <brk id="252"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rgb="FF015198"/>
  </sheetPr>
  <dimension ref="A1:AS608"/>
  <sheetViews>
    <sheetView showRowColHeaders="0" tabSelected="1" zoomScale="80" zoomScaleNormal="80" zoomScaleSheetLayoutView="70" zoomScalePageLayoutView="35" workbookViewId="0">
      <selection activeCell="H12" sqref="H12"/>
    </sheetView>
  </sheetViews>
  <sheetFormatPr baseColWidth="10" defaultColWidth="11.28515625" defaultRowHeight="12.75" x14ac:dyDescent="0.2"/>
  <cols>
    <col min="1" max="1" width="0.7109375" style="1" customWidth="1"/>
    <col min="2" max="2" width="0.28515625" style="1" customWidth="1"/>
    <col min="3" max="3" width="15.7109375" style="1" customWidth="1"/>
    <col min="4" max="4" width="8.85546875" style="1" customWidth="1"/>
    <col min="5" max="5" width="8.28515625" style="1" customWidth="1"/>
    <col min="6" max="6" width="10.28515625" style="1" bestFit="1" customWidth="1"/>
    <col min="7" max="7" width="11" style="1" customWidth="1"/>
    <col min="8" max="8" width="14.28515625" style="7" customWidth="1"/>
    <col min="9" max="9" width="15.140625" style="1" customWidth="1"/>
    <col min="10" max="10" width="6.7109375" style="1" customWidth="1"/>
    <col min="11" max="11" width="1.140625" style="1" customWidth="1"/>
    <col min="12" max="12" width="0.28515625" style="1" customWidth="1"/>
    <col min="13" max="13" width="25.7109375" style="7" customWidth="1"/>
    <col min="14" max="14" width="17" style="1" bestFit="1" customWidth="1"/>
    <col min="15" max="19" width="11.28515625" style="1"/>
    <col min="20" max="20" width="0.7109375" style="1" customWidth="1"/>
    <col min="21" max="21" width="15.7109375" style="1" bestFit="1" customWidth="1"/>
    <col min="22" max="22" width="11.28515625" style="1"/>
    <col min="23" max="23" width="17.85546875" style="1" bestFit="1" customWidth="1"/>
    <col min="24" max="24" width="12.7109375" style="1" bestFit="1" customWidth="1"/>
    <col min="25" max="25" width="11.28515625" style="1"/>
    <col min="26" max="26" width="12.7109375" style="1" bestFit="1" customWidth="1"/>
    <col min="27" max="16384" width="11.28515625" style="1"/>
  </cols>
  <sheetData>
    <row r="1" spans="1:34" x14ac:dyDescent="0.2">
      <c r="C1" s="503"/>
      <c r="D1" s="504"/>
      <c r="E1" s="504"/>
      <c r="F1" s="504"/>
      <c r="T1" s="124"/>
      <c r="U1" s="124"/>
      <c r="V1" s="124"/>
      <c r="W1" s="124"/>
      <c r="X1" s="124"/>
      <c r="Y1" s="124"/>
      <c r="Z1" s="124"/>
      <c r="AA1" s="124"/>
      <c r="AB1" s="124"/>
      <c r="AC1" s="124"/>
      <c r="AD1" s="124"/>
      <c r="AE1" s="124"/>
      <c r="AF1" s="124"/>
      <c r="AG1" s="124"/>
    </row>
    <row r="2" spans="1:34" x14ac:dyDescent="0.2">
      <c r="C2" s="504"/>
      <c r="D2" s="504"/>
      <c r="E2" s="504"/>
      <c r="F2" s="504"/>
      <c r="T2" s="122"/>
      <c r="U2" s="122"/>
      <c r="V2" s="122"/>
      <c r="W2" s="122"/>
      <c r="X2" s="122"/>
      <c r="Y2" s="122"/>
      <c r="Z2" s="122"/>
      <c r="AA2" s="122"/>
      <c r="AB2" s="122"/>
      <c r="AC2" s="122"/>
      <c r="AD2" s="122"/>
      <c r="AE2" s="122"/>
      <c r="AF2" s="122"/>
      <c r="AG2" s="122"/>
      <c r="AH2" s="103"/>
    </row>
    <row r="3" spans="1:34" x14ac:dyDescent="0.2">
      <c r="C3" s="504"/>
      <c r="D3" s="504"/>
      <c r="E3" s="504"/>
      <c r="F3" s="504"/>
      <c r="T3" s="122"/>
      <c r="U3" s="122"/>
      <c r="V3" s="122"/>
      <c r="W3" s="122"/>
      <c r="X3" s="122"/>
      <c r="Y3" s="122"/>
      <c r="Z3" s="122"/>
      <c r="AA3" s="122"/>
      <c r="AB3" s="122"/>
      <c r="AC3" s="122"/>
      <c r="AD3" s="122"/>
      <c r="AE3" s="122"/>
      <c r="AF3" s="122"/>
      <c r="AG3" s="122"/>
      <c r="AH3" s="103"/>
    </row>
    <row r="4" spans="1:34" x14ac:dyDescent="0.2">
      <c r="A4" s="3"/>
      <c r="B4" s="3"/>
      <c r="C4" s="504"/>
      <c r="D4" s="504"/>
      <c r="E4" s="504"/>
      <c r="F4" s="504"/>
      <c r="G4" s="3"/>
      <c r="H4" s="15"/>
      <c r="I4" s="3"/>
      <c r="J4" s="3"/>
      <c r="K4" s="3"/>
      <c r="L4" s="3"/>
      <c r="M4" s="15"/>
      <c r="N4" s="3"/>
      <c r="O4" s="3"/>
      <c r="P4" s="3"/>
      <c r="Q4" s="3"/>
      <c r="R4" s="3"/>
      <c r="S4" s="3"/>
      <c r="T4" s="122"/>
      <c r="U4" s="122"/>
      <c r="V4" s="122"/>
      <c r="W4" s="122"/>
      <c r="X4" s="122"/>
      <c r="Y4" s="122"/>
      <c r="Z4" s="122"/>
      <c r="AA4" s="122"/>
      <c r="AB4" s="122"/>
      <c r="AC4" s="122"/>
      <c r="AD4" s="122"/>
      <c r="AE4" s="122"/>
      <c r="AF4" s="122"/>
      <c r="AG4" s="122"/>
      <c r="AH4" s="103"/>
    </row>
    <row r="5" spans="1:34" ht="8.1" customHeight="1" x14ac:dyDescent="0.2">
      <c r="C5" s="504"/>
      <c r="D5" s="504"/>
      <c r="E5" s="504"/>
      <c r="F5" s="504"/>
      <c r="T5" s="122"/>
      <c r="U5" s="122"/>
      <c r="V5" s="122"/>
      <c r="W5" s="122"/>
      <c r="X5" s="122"/>
      <c r="Y5" s="122"/>
      <c r="Z5" s="122"/>
      <c r="AA5" s="122"/>
      <c r="AB5" s="122"/>
      <c r="AC5" s="122"/>
      <c r="AD5" s="122"/>
      <c r="AE5" s="122"/>
      <c r="AF5" s="122"/>
      <c r="AG5" s="122"/>
      <c r="AH5" s="103"/>
    </row>
    <row r="6" spans="1:34" s="54" customFormat="1" ht="41.25" customHeight="1" x14ac:dyDescent="0.55000000000000004">
      <c r="A6" s="294"/>
      <c r="B6" s="508" t="s">
        <v>1204</v>
      </c>
      <c r="C6" s="509"/>
      <c r="D6" s="509"/>
      <c r="E6" s="509"/>
      <c r="F6" s="509"/>
      <c r="G6" s="509"/>
      <c r="H6" s="509"/>
      <c r="I6" s="509"/>
      <c r="J6" s="509"/>
      <c r="K6" s="509"/>
      <c r="L6" s="509"/>
      <c r="M6" s="509"/>
      <c r="N6" s="509"/>
      <c r="O6" s="509"/>
      <c r="P6" s="509"/>
      <c r="Q6" s="509"/>
      <c r="R6" s="509"/>
      <c r="S6" s="509"/>
      <c r="T6" s="121"/>
      <c r="U6" s="121"/>
      <c r="V6" s="121"/>
      <c r="W6" s="121"/>
      <c r="X6" s="121"/>
      <c r="Y6" s="121"/>
      <c r="Z6" s="121"/>
      <c r="AA6" s="121"/>
      <c r="AB6" s="121"/>
      <c r="AC6" s="121"/>
      <c r="AD6" s="121"/>
      <c r="AE6" s="121"/>
      <c r="AF6" s="121"/>
      <c r="AG6" s="121"/>
      <c r="AH6" s="105"/>
    </row>
    <row r="7" spans="1:34" ht="28.5" x14ac:dyDescent="0.45">
      <c r="A7" s="510" t="s">
        <v>2714</v>
      </c>
      <c r="B7" s="510"/>
      <c r="C7" s="511"/>
      <c r="D7" s="511"/>
      <c r="E7" s="511"/>
      <c r="F7" s="511"/>
      <c r="G7" s="511"/>
      <c r="H7" s="511"/>
      <c r="I7" s="511"/>
      <c r="J7" s="511"/>
      <c r="K7" s="511"/>
      <c r="L7" s="511"/>
      <c r="M7" s="511"/>
      <c r="N7" s="511"/>
      <c r="O7" s="511"/>
      <c r="P7" s="511"/>
      <c r="Q7" s="511"/>
      <c r="R7" s="511"/>
      <c r="S7" s="511"/>
      <c r="T7" s="122"/>
      <c r="U7" s="122"/>
      <c r="V7" s="122"/>
      <c r="W7" s="122"/>
      <c r="X7" s="122"/>
      <c r="Y7" s="122"/>
      <c r="Z7" s="122"/>
      <c r="AA7" s="122"/>
      <c r="AB7" s="122"/>
      <c r="AC7" s="122"/>
      <c r="AD7" s="122"/>
      <c r="AE7" s="122"/>
      <c r="AF7" s="122"/>
      <c r="AG7" s="122"/>
      <c r="AH7" s="103"/>
    </row>
    <row r="8" spans="1:34" ht="25.5" customHeight="1" x14ac:dyDescent="0.2">
      <c r="C8" s="1" t="s">
        <v>2168</v>
      </c>
      <c r="T8" s="122"/>
      <c r="U8" s="122"/>
      <c r="V8" s="122"/>
      <c r="W8" s="122"/>
      <c r="X8" s="122"/>
      <c r="Y8" s="122"/>
      <c r="Z8" s="122"/>
      <c r="AA8" s="122"/>
      <c r="AB8" s="122"/>
      <c r="AC8" s="122"/>
      <c r="AD8" s="122"/>
      <c r="AE8" s="122"/>
      <c r="AF8" s="122"/>
      <c r="AG8" s="122"/>
      <c r="AH8" s="103"/>
    </row>
    <row r="9" spans="1:34" ht="18" x14ac:dyDescent="0.25">
      <c r="B9" s="332" t="s">
        <v>2421</v>
      </c>
      <c r="C9" s="332"/>
      <c r="D9" s="333"/>
      <c r="E9" s="333"/>
      <c r="F9" s="333"/>
      <c r="G9" s="333"/>
      <c r="H9" s="334"/>
      <c r="I9" s="334"/>
      <c r="J9" s="334"/>
      <c r="L9" s="332"/>
      <c r="M9" s="332" t="str">
        <f>IF(AND(H63="Invest- inkl. Tarifförderung",H37&gt;=5),"6. Übersicht zum Eigenverbrauch während des Fördertarifs",IF(H63="Investzuschuss","6. Förderquote Investitionsförderung","6. Keine Tarifförderung möglich!"))</f>
        <v>6. Keine Tarifförderung möglich!</v>
      </c>
      <c r="N9" s="333"/>
      <c r="O9" s="333"/>
      <c r="P9" s="333"/>
      <c r="Q9" s="333"/>
      <c r="R9" s="334"/>
      <c r="S9" s="334"/>
      <c r="T9" s="122"/>
      <c r="U9" s="122"/>
      <c r="V9" s="122"/>
      <c r="W9" s="122"/>
      <c r="X9" s="122"/>
      <c r="Y9" s="122"/>
      <c r="Z9" s="122"/>
      <c r="AA9" s="122"/>
      <c r="AB9" s="122"/>
      <c r="AC9" s="122"/>
      <c r="AD9" s="122"/>
      <c r="AE9" s="122"/>
      <c r="AF9" s="122"/>
      <c r="AG9" s="122"/>
      <c r="AH9" s="103"/>
    </row>
    <row r="10" spans="1:34" ht="6" customHeight="1" x14ac:dyDescent="0.3">
      <c r="B10" s="161"/>
      <c r="C10" s="161"/>
      <c r="D10" s="161"/>
      <c r="E10" s="161"/>
      <c r="F10" s="161"/>
      <c r="G10" s="161"/>
      <c r="H10" s="162"/>
      <c r="I10" s="162"/>
      <c r="J10" s="230"/>
      <c r="L10" s="8"/>
      <c r="M10" s="8"/>
      <c r="N10" s="8"/>
      <c r="O10" s="8"/>
      <c r="P10" s="8"/>
      <c r="Q10" s="8"/>
      <c r="R10" s="8"/>
      <c r="S10" s="8"/>
      <c r="T10" s="122"/>
      <c r="U10" s="122"/>
      <c r="V10" s="122"/>
      <c r="W10" s="122"/>
      <c r="X10" s="122"/>
      <c r="Y10" s="122"/>
      <c r="Z10" s="122"/>
      <c r="AA10" s="122"/>
      <c r="AB10" s="122"/>
      <c r="AC10" s="122"/>
      <c r="AD10" s="122"/>
      <c r="AE10" s="122"/>
      <c r="AF10" s="122"/>
      <c r="AG10" s="122"/>
      <c r="AH10" s="103"/>
    </row>
    <row r="11" spans="1:34" x14ac:dyDescent="0.2">
      <c r="B11" s="141"/>
      <c r="C11" s="141"/>
      <c r="D11" s="141"/>
      <c r="E11" s="141"/>
      <c r="F11" s="141"/>
      <c r="G11" s="141" t="s">
        <v>94</v>
      </c>
      <c r="H11" s="507" t="str">
        <f>'PLZ-Zuordnung'!J5</f>
        <v>Steyr</v>
      </c>
      <c r="I11" s="507"/>
      <c r="J11" s="144"/>
      <c r="L11" s="8"/>
      <c r="M11" s="8"/>
      <c r="N11" s="8"/>
      <c r="O11" s="8"/>
      <c r="P11" s="8"/>
      <c r="Q11" s="8"/>
      <c r="R11" s="8"/>
      <c r="S11" s="8"/>
      <c r="T11" s="122"/>
      <c r="U11" s="122"/>
      <c r="V11" s="122"/>
      <c r="W11" s="122"/>
      <c r="X11" s="122"/>
      <c r="Y11" s="122"/>
      <c r="Z11" s="122"/>
      <c r="AA11" s="122"/>
      <c r="AB11" s="122"/>
      <c r="AC11" s="122"/>
      <c r="AD11" s="122"/>
      <c r="AE11" s="122"/>
      <c r="AF11" s="122"/>
      <c r="AG11" s="122"/>
      <c r="AH11" s="103"/>
    </row>
    <row r="12" spans="1:34" x14ac:dyDescent="0.2">
      <c r="B12" s="141"/>
      <c r="C12" s="141"/>
      <c r="D12" s="141"/>
      <c r="E12" s="141"/>
      <c r="F12" s="141"/>
      <c r="G12" s="141" t="s">
        <v>96</v>
      </c>
      <c r="H12" s="213">
        <v>4400</v>
      </c>
      <c r="I12" s="214"/>
      <c r="J12" s="144"/>
      <c r="L12" s="8"/>
      <c r="M12" s="8"/>
      <c r="N12" s="8"/>
      <c r="O12" s="8"/>
      <c r="P12" s="8"/>
      <c r="Q12" s="8"/>
      <c r="R12" s="8"/>
      <c r="S12" s="8"/>
      <c r="T12" s="122"/>
      <c r="U12" s="122"/>
      <c r="V12" s="122"/>
      <c r="W12" s="122"/>
      <c r="X12" s="122"/>
      <c r="Y12" s="122"/>
      <c r="Z12" s="122"/>
      <c r="AA12" s="122"/>
      <c r="AB12" s="122"/>
      <c r="AC12" s="122"/>
      <c r="AD12" s="122"/>
      <c r="AE12" s="122"/>
      <c r="AF12" s="122"/>
      <c r="AG12" s="122"/>
      <c r="AH12" s="103"/>
    </row>
    <row r="13" spans="1:34" ht="6" customHeight="1" x14ac:dyDescent="0.2">
      <c r="B13" s="154"/>
      <c r="C13" s="154"/>
      <c r="D13" s="154"/>
      <c r="E13" s="154"/>
      <c r="F13" s="154"/>
      <c r="G13" s="154"/>
      <c r="H13" s="214"/>
      <c r="I13" s="214"/>
      <c r="J13" s="144"/>
      <c r="L13" s="8"/>
      <c r="M13" s="8"/>
      <c r="N13" s="8"/>
      <c r="O13" s="8"/>
      <c r="P13" s="8"/>
      <c r="Q13" s="8"/>
      <c r="R13" s="8"/>
      <c r="S13" s="8"/>
      <c r="T13" s="122"/>
      <c r="U13" s="122"/>
      <c r="V13" s="122"/>
      <c r="W13" s="122"/>
      <c r="X13" s="122"/>
      <c r="Y13" s="122"/>
      <c r="Z13" s="122"/>
      <c r="AA13" s="122"/>
      <c r="AB13" s="122"/>
      <c r="AC13" s="122"/>
      <c r="AD13" s="122"/>
      <c r="AE13" s="122"/>
      <c r="AF13" s="122"/>
      <c r="AG13" s="122"/>
      <c r="AH13" s="103"/>
    </row>
    <row r="14" spans="1:34" ht="6" customHeight="1" x14ac:dyDescent="0.2">
      <c r="B14" s="215"/>
      <c r="C14" s="215"/>
      <c r="D14" s="215"/>
      <c r="E14" s="215"/>
      <c r="F14" s="215"/>
      <c r="G14" s="215"/>
      <c r="H14" s="216"/>
      <c r="I14" s="216"/>
      <c r="J14" s="216"/>
      <c r="L14" s="8"/>
      <c r="M14" s="8"/>
      <c r="N14" s="8"/>
      <c r="O14" s="8"/>
      <c r="P14" s="8"/>
      <c r="Q14" s="8"/>
      <c r="R14" s="8"/>
      <c r="S14" s="8"/>
      <c r="T14" s="122"/>
      <c r="U14" s="122"/>
      <c r="V14" s="122"/>
      <c r="W14" s="122"/>
      <c r="X14" s="122"/>
      <c r="Y14" s="122"/>
      <c r="Z14" s="122"/>
      <c r="AA14" s="122"/>
      <c r="AB14" s="122"/>
      <c r="AC14" s="122"/>
      <c r="AD14" s="122"/>
      <c r="AE14" s="122"/>
      <c r="AF14" s="122"/>
      <c r="AG14" s="122"/>
      <c r="AH14" s="103"/>
    </row>
    <row r="15" spans="1:34" s="9" customFormat="1" x14ac:dyDescent="0.2">
      <c r="B15" s="165"/>
      <c r="C15" s="165"/>
      <c r="D15" s="165"/>
      <c r="E15" s="165"/>
      <c r="F15" s="165"/>
      <c r="G15" s="174" t="s">
        <v>2044</v>
      </c>
      <c r="H15" s="217">
        <f>Wetterdaten!L5</f>
        <v>1068</v>
      </c>
      <c r="I15" s="173" t="s">
        <v>97</v>
      </c>
      <c r="J15" s="229"/>
      <c r="L15" s="8"/>
      <c r="M15" s="8"/>
      <c r="N15" s="8"/>
      <c r="O15" s="8"/>
      <c r="P15" s="8"/>
      <c r="Q15" s="8"/>
      <c r="R15" s="8"/>
      <c r="S15" s="8"/>
      <c r="T15" s="122"/>
      <c r="U15" s="122"/>
      <c r="V15" s="122"/>
      <c r="W15" s="122"/>
      <c r="X15" s="122"/>
      <c r="Y15" s="122"/>
      <c r="Z15" s="122"/>
      <c r="AA15" s="122"/>
      <c r="AB15" s="122"/>
      <c r="AC15" s="122"/>
      <c r="AD15" s="122"/>
      <c r="AE15" s="122"/>
      <c r="AF15" s="122"/>
      <c r="AG15" s="122"/>
      <c r="AH15" s="103"/>
    </row>
    <row r="16" spans="1:34" s="9" customFormat="1" x14ac:dyDescent="0.2">
      <c r="B16" s="165"/>
      <c r="C16" s="165"/>
      <c r="D16" s="165"/>
      <c r="E16" s="165"/>
      <c r="F16" s="165"/>
      <c r="G16" s="174" t="s">
        <v>2045</v>
      </c>
      <c r="H16" s="217">
        <f>Ausrichtung!H51</f>
        <v>1256.4705882352941</v>
      </c>
      <c r="I16" s="173" t="s">
        <v>97</v>
      </c>
      <c r="J16" s="229"/>
      <c r="L16" s="8"/>
      <c r="M16" s="8"/>
      <c r="N16" s="8"/>
      <c r="O16" s="8"/>
      <c r="P16" s="8"/>
      <c r="Q16" s="8"/>
      <c r="R16" s="8"/>
      <c r="S16" s="8"/>
      <c r="T16" s="122"/>
      <c r="U16" s="122"/>
      <c r="V16" s="122"/>
      <c r="W16" s="122"/>
      <c r="X16" s="122"/>
      <c r="Y16" s="122"/>
      <c r="Z16" s="122"/>
      <c r="AA16" s="122"/>
      <c r="AB16" s="122"/>
      <c r="AC16" s="122"/>
      <c r="AD16" s="122"/>
      <c r="AE16" s="122"/>
      <c r="AF16" s="122"/>
      <c r="AG16" s="122"/>
      <c r="AH16" s="103"/>
    </row>
    <row r="17" spans="2:34" ht="5.25" customHeight="1" x14ac:dyDescent="0.2">
      <c r="B17" s="194"/>
      <c r="C17" s="194"/>
      <c r="D17" s="194"/>
      <c r="E17" s="194"/>
      <c r="F17" s="194"/>
      <c r="G17" s="194"/>
      <c r="H17" s="194"/>
      <c r="I17" s="194"/>
      <c r="J17" s="194"/>
      <c r="L17" s="8"/>
      <c r="M17" s="8"/>
      <c r="N17" s="8"/>
      <c r="O17" s="8"/>
      <c r="P17" s="8"/>
      <c r="Q17" s="8"/>
      <c r="R17" s="8"/>
      <c r="S17" s="8"/>
      <c r="T17" s="122"/>
      <c r="U17" s="122"/>
      <c r="V17" s="122"/>
      <c r="W17" s="122"/>
      <c r="X17" s="122"/>
      <c r="Y17" s="122"/>
      <c r="Z17" s="122"/>
      <c r="AA17" s="122"/>
      <c r="AB17" s="122"/>
      <c r="AC17" s="122"/>
      <c r="AD17" s="122"/>
      <c r="AE17" s="122"/>
      <c r="AF17" s="122"/>
      <c r="AG17" s="122"/>
      <c r="AH17" s="103"/>
    </row>
    <row r="18" spans="2:34" ht="5.25" customHeight="1" x14ac:dyDescent="0.3">
      <c r="B18" s="161"/>
      <c r="C18" s="161"/>
      <c r="D18" s="161"/>
      <c r="E18" s="161"/>
      <c r="F18" s="161"/>
      <c r="G18" s="161"/>
      <c r="H18" s="162"/>
      <c r="I18" s="162"/>
      <c r="J18" s="230"/>
      <c r="L18" s="8"/>
      <c r="M18" s="8"/>
      <c r="N18" s="8"/>
      <c r="O18" s="8"/>
      <c r="P18" s="8"/>
      <c r="Q18" s="8"/>
      <c r="R18" s="8"/>
      <c r="S18" s="8"/>
      <c r="T18" s="122"/>
      <c r="U18" s="122"/>
      <c r="V18" s="122"/>
      <c r="W18" s="122"/>
      <c r="X18" s="122"/>
      <c r="Y18" s="122"/>
      <c r="Z18" s="122"/>
      <c r="AA18" s="122"/>
      <c r="AB18" s="122"/>
      <c r="AC18" s="122"/>
      <c r="AD18" s="122"/>
      <c r="AE18" s="122"/>
      <c r="AF18" s="122"/>
      <c r="AG18" s="122"/>
      <c r="AH18" s="103"/>
    </row>
    <row r="19" spans="2:34" ht="12.75" customHeight="1" x14ac:dyDescent="0.2">
      <c r="B19" s="173"/>
      <c r="C19" s="173" t="s">
        <v>2416</v>
      </c>
      <c r="D19" s="142"/>
      <c r="E19" s="142"/>
      <c r="F19" s="142"/>
      <c r="G19" s="168"/>
      <c r="H19" s="506" t="s">
        <v>2418</v>
      </c>
      <c r="I19" s="506"/>
      <c r="J19" s="506"/>
      <c r="L19" s="8"/>
      <c r="M19" s="8"/>
      <c r="N19" s="8"/>
      <c r="O19" s="8"/>
      <c r="P19" s="8"/>
      <c r="Q19" s="8"/>
      <c r="R19" s="8"/>
      <c r="S19" s="8"/>
      <c r="T19" s="122"/>
      <c r="U19" s="122"/>
      <c r="V19" s="122"/>
      <c r="W19" s="122"/>
      <c r="X19" s="122"/>
      <c r="Y19" s="122"/>
      <c r="Z19" s="122"/>
      <c r="AA19" s="122"/>
      <c r="AB19" s="122"/>
      <c r="AC19" s="122"/>
      <c r="AD19" s="122"/>
      <c r="AE19" s="122"/>
      <c r="AF19" s="122"/>
      <c r="AG19" s="122"/>
      <c r="AH19" s="103"/>
    </row>
    <row r="20" spans="2:34" ht="12.75" customHeight="1" x14ac:dyDescent="0.2">
      <c r="B20" s="146"/>
      <c r="C20" s="146"/>
      <c r="D20" s="146"/>
      <c r="E20" s="146"/>
      <c r="F20" s="146"/>
      <c r="G20" s="146"/>
      <c r="H20" s="506"/>
      <c r="I20" s="506"/>
      <c r="J20" s="506"/>
      <c r="L20" s="8"/>
      <c r="M20" s="8"/>
      <c r="N20" s="8"/>
      <c r="O20" s="8"/>
      <c r="P20" s="8"/>
      <c r="Q20" s="8"/>
      <c r="R20" s="8"/>
      <c r="S20" s="8"/>
      <c r="T20" s="122"/>
      <c r="U20" s="122"/>
      <c r="V20" s="122"/>
      <c r="W20" s="122"/>
      <c r="X20" s="122"/>
      <c r="Y20" s="122"/>
      <c r="Z20" s="122"/>
      <c r="AA20" s="122"/>
      <c r="AB20" s="122"/>
      <c r="AC20" s="122"/>
      <c r="AD20" s="122"/>
      <c r="AE20" s="122"/>
      <c r="AF20" s="122"/>
      <c r="AG20" s="122"/>
      <c r="AH20" s="103"/>
    </row>
    <row r="21" spans="2:34" x14ac:dyDescent="0.2">
      <c r="B21" s="146"/>
      <c r="C21" s="146"/>
      <c r="D21" s="146"/>
      <c r="E21" s="146"/>
      <c r="F21" s="146"/>
      <c r="G21" s="146"/>
      <c r="H21" s="506"/>
      <c r="I21" s="506"/>
      <c r="J21" s="506"/>
      <c r="L21" s="8"/>
      <c r="M21" s="8"/>
      <c r="N21" s="8"/>
      <c r="O21" s="513" t="str">
        <f>"Gesamte Investitionsförderung: "&amp;ROUND((1-($H$92/$H$89))*100,0)&amp;" %"</f>
        <v>Gesamte Investitionsförderung: 20 %</v>
      </c>
      <c r="P21" s="513"/>
      <c r="Q21" s="513"/>
      <c r="R21" s="513"/>
      <c r="S21" s="513"/>
      <c r="T21" s="122"/>
      <c r="U21" s="122"/>
      <c r="V21" s="122"/>
      <c r="W21" s="122"/>
      <c r="X21" s="122"/>
      <c r="Y21" s="122"/>
      <c r="Z21" s="122"/>
      <c r="AA21" s="122"/>
      <c r="AB21" s="122"/>
      <c r="AC21" s="122"/>
      <c r="AD21" s="122"/>
      <c r="AE21" s="122"/>
      <c r="AF21" s="122"/>
      <c r="AG21" s="122"/>
      <c r="AH21" s="103"/>
    </row>
    <row r="22" spans="2:34" x14ac:dyDescent="0.2">
      <c r="B22" s="146"/>
      <c r="C22" s="146"/>
      <c r="D22" s="146"/>
      <c r="E22" s="146"/>
      <c r="F22" s="146"/>
      <c r="G22" s="146"/>
      <c r="H22" s="506"/>
      <c r="I22" s="506"/>
      <c r="J22" s="506"/>
      <c r="L22" s="8"/>
      <c r="M22" s="8"/>
      <c r="N22" s="8"/>
      <c r="O22" s="8"/>
      <c r="P22" s="8"/>
      <c r="Q22" s="8"/>
      <c r="R22" s="8"/>
      <c r="S22" s="8"/>
      <c r="T22" s="122"/>
      <c r="U22" s="122"/>
      <c r="V22" s="122"/>
      <c r="W22" s="122"/>
      <c r="X22" s="122"/>
      <c r="Y22" s="122"/>
      <c r="Z22" s="122"/>
      <c r="AA22" s="122"/>
      <c r="AB22" s="122"/>
      <c r="AC22" s="122"/>
      <c r="AD22" s="122"/>
      <c r="AE22" s="122"/>
      <c r="AF22" s="122"/>
      <c r="AG22" s="122"/>
      <c r="AH22" s="103"/>
    </row>
    <row r="23" spans="2:34" x14ac:dyDescent="0.2">
      <c r="B23" s="146"/>
      <c r="C23" s="146"/>
      <c r="D23" s="146"/>
      <c r="E23" s="146"/>
      <c r="F23" s="146"/>
      <c r="G23" s="146"/>
      <c r="H23" s="218">
        <v>0</v>
      </c>
      <c r="I23" s="146" t="s">
        <v>2419</v>
      </c>
      <c r="J23" s="146"/>
      <c r="L23" s="8"/>
      <c r="M23" s="8"/>
      <c r="N23" s="8"/>
      <c r="O23" s="8"/>
      <c r="P23" s="8"/>
      <c r="Q23" s="8"/>
      <c r="R23" s="8"/>
      <c r="S23" s="8"/>
      <c r="T23" s="122"/>
      <c r="U23" s="122"/>
      <c r="V23" s="122"/>
      <c r="W23" s="122"/>
      <c r="X23" s="122"/>
      <c r="Y23" s="122"/>
      <c r="Z23" s="122"/>
      <c r="AA23" s="122"/>
      <c r="AB23" s="122"/>
      <c r="AC23" s="122"/>
      <c r="AD23" s="122"/>
      <c r="AE23" s="122"/>
      <c r="AF23" s="122"/>
      <c r="AG23" s="122"/>
      <c r="AH23" s="103"/>
    </row>
    <row r="24" spans="2:34" ht="7.5" customHeight="1" x14ac:dyDescent="0.2">
      <c r="B24" s="146"/>
      <c r="C24" s="146"/>
      <c r="D24" s="146"/>
      <c r="E24" s="146"/>
      <c r="F24" s="146"/>
      <c r="G24" s="146"/>
      <c r="H24" s="146"/>
      <c r="I24" s="146"/>
      <c r="J24" s="146"/>
      <c r="M24" s="150"/>
      <c r="N24" s="150"/>
      <c r="O24" s="150"/>
      <c r="P24" s="150"/>
      <c r="Q24" s="150"/>
      <c r="R24" s="150"/>
      <c r="S24" s="150"/>
      <c r="T24" s="122"/>
      <c r="U24" s="122"/>
      <c r="V24" s="122"/>
      <c r="W24" s="122"/>
      <c r="X24" s="122"/>
      <c r="Y24" s="122"/>
      <c r="Z24" s="122"/>
      <c r="AA24" s="122"/>
      <c r="AB24" s="122"/>
      <c r="AC24" s="122"/>
      <c r="AD24" s="122"/>
      <c r="AE24" s="122"/>
      <c r="AF24" s="122"/>
      <c r="AG24" s="122"/>
      <c r="AH24" s="103"/>
    </row>
    <row r="25" spans="2:34" ht="18" customHeight="1" x14ac:dyDescent="0.25">
      <c r="B25" s="173"/>
      <c r="C25" s="173" t="s">
        <v>2417</v>
      </c>
      <c r="D25" s="142"/>
      <c r="E25" s="142"/>
      <c r="F25" s="142"/>
      <c r="G25" s="146"/>
      <c r="H25" s="506" t="s">
        <v>2420</v>
      </c>
      <c r="I25" s="506"/>
      <c r="J25" s="506"/>
      <c r="L25" s="332"/>
      <c r="M25" s="332" t="str">
        <f>IF(AND(H63="Invest- inkl. Tarifförderung",H65="Überschusseinspeisung"),"7. Übersicht zum Eigenverbrauch nach Fördertarif (dzt. 13 Jahre)","7. Übersicht zum Eigenverbrauch")</f>
        <v>7. Übersicht zum Eigenverbrauch</v>
      </c>
      <c r="N25" s="333"/>
      <c r="O25" s="333"/>
      <c r="P25" s="333"/>
      <c r="Q25" s="333"/>
      <c r="R25" s="334"/>
      <c r="S25" s="334"/>
      <c r="T25" s="122"/>
      <c r="U25" s="122"/>
      <c r="V25" s="122"/>
      <c r="W25" s="122"/>
      <c r="X25" s="122"/>
      <c r="Y25" s="122"/>
      <c r="Z25" s="122"/>
      <c r="AA25" s="122"/>
      <c r="AB25" s="122"/>
      <c r="AC25" s="122"/>
      <c r="AD25" s="122"/>
      <c r="AE25" s="122"/>
      <c r="AF25" s="122"/>
      <c r="AG25" s="122"/>
      <c r="AH25" s="103"/>
    </row>
    <row r="26" spans="2:34" x14ac:dyDescent="0.2">
      <c r="B26" s="171"/>
      <c r="C26" s="171"/>
      <c r="D26" s="171"/>
      <c r="E26" s="171"/>
      <c r="F26" s="171"/>
      <c r="G26" s="146"/>
      <c r="H26" s="506"/>
      <c r="I26" s="506"/>
      <c r="J26" s="506"/>
      <c r="L26" s="8"/>
      <c r="M26" s="8"/>
      <c r="N26" s="8"/>
      <c r="O26" s="8"/>
      <c r="P26" s="8"/>
      <c r="Q26" s="8"/>
      <c r="R26" s="8"/>
      <c r="S26" s="8"/>
      <c r="T26" s="122"/>
      <c r="U26" s="122"/>
      <c r="V26" s="122"/>
      <c r="W26" s="122"/>
      <c r="X26" s="122"/>
      <c r="Y26" s="122"/>
      <c r="Z26" s="122"/>
      <c r="AA26" s="122"/>
      <c r="AB26" s="122"/>
      <c r="AC26" s="122"/>
      <c r="AD26" s="122"/>
      <c r="AE26" s="122"/>
      <c r="AF26" s="122"/>
      <c r="AG26" s="122"/>
      <c r="AH26" s="103"/>
    </row>
    <row r="27" spans="2:34" x14ac:dyDescent="0.2">
      <c r="B27" s="171"/>
      <c r="C27" s="171"/>
      <c r="D27" s="171"/>
      <c r="E27" s="171"/>
      <c r="F27" s="171"/>
      <c r="G27" s="146"/>
      <c r="H27" s="506"/>
      <c r="I27" s="506"/>
      <c r="J27" s="506"/>
      <c r="L27" s="8"/>
      <c r="M27" s="8"/>
      <c r="N27" s="8"/>
      <c r="O27" s="8"/>
      <c r="P27" s="8"/>
      <c r="Q27" s="8"/>
      <c r="R27" s="8"/>
      <c r="S27" s="8"/>
      <c r="T27" s="122"/>
      <c r="U27" s="122"/>
      <c r="V27" s="122"/>
      <c r="W27" s="122"/>
      <c r="X27" s="122"/>
      <c r="Y27" s="122"/>
      <c r="Z27" s="122"/>
      <c r="AA27" s="122"/>
      <c r="AB27" s="122"/>
      <c r="AC27" s="122"/>
      <c r="AD27" s="122"/>
      <c r="AE27" s="122"/>
      <c r="AF27" s="122"/>
      <c r="AG27" s="122"/>
      <c r="AH27" s="103"/>
    </row>
    <row r="28" spans="2:34" x14ac:dyDescent="0.2">
      <c r="B28" s="171"/>
      <c r="C28" s="171"/>
      <c r="D28" s="171"/>
      <c r="E28" s="171"/>
      <c r="F28" s="171"/>
      <c r="G28" s="146"/>
      <c r="H28" s="506"/>
      <c r="I28" s="506"/>
      <c r="J28" s="506"/>
      <c r="L28" s="8"/>
      <c r="M28" s="8"/>
      <c r="N28" s="8"/>
      <c r="O28" s="8"/>
      <c r="P28" s="8"/>
      <c r="Q28" s="8"/>
      <c r="R28" s="8"/>
      <c r="S28" s="8"/>
      <c r="T28" s="122"/>
      <c r="U28" s="122"/>
      <c r="V28" s="122"/>
      <c r="W28" s="122"/>
      <c r="X28" s="122"/>
      <c r="Y28" s="122"/>
      <c r="Z28" s="122"/>
      <c r="AA28" s="122"/>
      <c r="AB28" s="122"/>
      <c r="AC28" s="122"/>
      <c r="AD28" s="122"/>
      <c r="AE28" s="122"/>
      <c r="AF28" s="122"/>
      <c r="AG28" s="122"/>
      <c r="AH28" s="103"/>
    </row>
    <row r="29" spans="2:34" x14ac:dyDescent="0.2">
      <c r="B29" s="171"/>
      <c r="C29" s="171"/>
      <c r="D29" s="171"/>
      <c r="E29" s="171"/>
      <c r="F29" s="171"/>
      <c r="G29" s="146"/>
      <c r="H29" s="218">
        <v>30</v>
      </c>
      <c r="I29" s="146" t="s">
        <v>2419</v>
      </c>
      <c r="J29" s="144"/>
      <c r="L29" s="8"/>
      <c r="M29" s="512"/>
      <c r="N29" s="512"/>
      <c r="O29" s="8"/>
      <c r="P29" s="8"/>
      <c r="Q29" s="8"/>
      <c r="R29" s="8"/>
      <c r="S29" s="8"/>
      <c r="T29" s="122"/>
      <c r="U29" s="122"/>
      <c r="V29" s="122"/>
      <c r="W29" s="122"/>
      <c r="X29" s="122"/>
      <c r="Y29" s="122"/>
      <c r="Z29" s="122"/>
      <c r="AA29" s="122"/>
      <c r="AB29" s="403"/>
      <c r="AC29" s="403"/>
      <c r="AD29" s="403"/>
      <c r="AE29" s="122"/>
      <c r="AF29" s="122"/>
      <c r="AG29" s="122"/>
      <c r="AH29" s="103"/>
    </row>
    <row r="30" spans="2:34" x14ac:dyDescent="0.2">
      <c r="B30" s="171"/>
      <c r="C30" s="171"/>
      <c r="D30" s="171"/>
      <c r="E30" s="171"/>
      <c r="F30" s="171"/>
      <c r="G30" s="146"/>
      <c r="H30" s="146"/>
      <c r="I30" s="146"/>
      <c r="J30" s="144"/>
      <c r="L30" s="8"/>
      <c r="M30" s="8"/>
      <c r="N30" s="8"/>
      <c r="O30" s="8"/>
      <c r="P30" s="8"/>
      <c r="Q30" s="8"/>
      <c r="R30" s="8"/>
      <c r="S30" s="8"/>
      <c r="T30" s="122"/>
      <c r="U30" s="122"/>
      <c r="V30" s="122"/>
      <c r="W30" s="122"/>
      <c r="X30" s="122"/>
      <c r="Y30" s="122"/>
      <c r="Z30" s="122"/>
      <c r="AA30" s="122"/>
      <c r="AB30" s="403"/>
      <c r="AC30" s="403"/>
      <c r="AD30" s="403"/>
      <c r="AE30" s="122"/>
      <c r="AF30" s="122"/>
      <c r="AG30" s="122"/>
      <c r="AH30" s="103"/>
    </row>
    <row r="31" spans="2:34" x14ac:dyDescent="0.2">
      <c r="B31" s="173"/>
      <c r="C31" s="173" t="s">
        <v>932</v>
      </c>
      <c r="D31" s="171"/>
      <c r="E31" s="171" t="s">
        <v>789</v>
      </c>
      <c r="F31" s="171"/>
      <c r="G31" s="146"/>
      <c r="H31" s="146"/>
      <c r="I31" s="146"/>
      <c r="J31" s="144"/>
      <c r="L31" s="8"/>
      <c r="M31" s="8"/>
      <c r="N31" s="8"/>
      <c r="O31" s="8"/>
      <c r="P31" s="8"/>
      <c r="Q31" s="8"/>
      <c r="R31" s="8"/>
      <c r="S31" s="8"/>
      <c r="T31" s="122"/>
      <c r="U31" s="122"/>
      <c r="V31" s="122"/>
      <c r="W31" s="122"/>
      <c r="X31" s="122"/>
      <c r="Y31" s="122"/>
      <c r="Z31" s="122"/>
      <c r="AA31" s="122"/>
      <c r="AB31" s="403"/>
      <c r="AC31" s="403"/>
      <c r="AD31" s="403"/>
      <c r="AE31" s="122"/>
      <c r="AF31" s="122"/>
      <c r="AG31" s="122"/>
      <c r="AH31" s="103"/>
    </row>
    <row r="32" spans="2:34" x14ac:dyDescent="0.2">
      <c r="B32" s="173"/>
      <c r="C32" s="173"/>
      <c r="D32" s="171"/>
      <c r="E32" s="171" t="str">
        <f>IF(C55="Gebäudeintegriert","Die Anlage ist gebäudeintegriert!",IF(C55="Aufdach","Die Anlage ist hinterlüftet!","Es handelt sich um eine Freiflächenanlage!"))</f>
        <v>Die Anlage ist hinterlüftet!</v>
      </c>
      <c r="F32" s="171"/>
      <c r="G32" s="146"/>
      <c r="H32" s="146"/>
      <c r="I32" s="146"/>
      <c r="J32" s="144"/>
      <c r="L32" s="8"/>
      <c r="M32" s="8"/>
      <c r="N32" s="8"/>
      <c r="O32" s="8"/>
      <c r="P32" s="8"/>
      <c r="Q32" s="8"/>
      <c r="R32" s="8"/>
      <c r="S32" s="8"/>
      <c r="T32" s="122"/>
      <c r="U32" s="122"/>
      <c r="V32" s="122"/>
      <c r="W32" s="122"/>
      <c r="X32" s="122"/>
      <c r="Y32" s="122"/>
      <c r="Z32" s="122"/>
      <c r="AA32" s="122"/>
      <c r="AB32" s="403"/>
      <c r="AC32" s="403"/>
      <c r="AD32" s="403"/>
      <c r="AE32" s="122"/>
      <c r="AF32" s="122"/>
      <c r="AG32" s="122"/>
      <c r="AH32" s="103"/>
    </row>
    <row r="33" spans="2:34" ht="5.25" customHeight="1" x14ac:dyDescent="0.2">
      <c r="B33" s="146"/>
      <c r="C33" s="146"/>
      <c r="D33" s="146"/>
      <c r="E33" s="146"/>
      <c r="F33" s="146"/>
      <c r="G33" s="146"/>
      <c r="H33" s="146"/>
      <c r="I33" s="146"/>
      <c r="J33" s="146"/>
      <c r="L33" s="8"/>
      <c r="M33" s="8"/>
      <c r="N33" s="8"/>
      <c r="O33" s="8"/>
      <c r="P33" s="8"/>
      <c r="Q33" s="8"/>
      <c r="R33" s="8"/>
      <c r="S33" s="8"/>
      <c r="T33" s="122"/>
      <c r="U33" s="122"/>
      <c r="V33" s="122"/>
      <c r="W33" s="122"/>
      <c r="X33" s="122"/>
      <c r="Y33" s="122"/>
      <c r="Z33" s="122"/>
      <c r="AA33" s="122"/>
      <c r="AB33" s="403"/>
      <c r="AC33" s="403"/>
      <c r="AD33" s="403"/>
      <c r="AE33" s="122"/>
      <c r="AF33" s="122"/>
      <c r="AG33" s="122"/>
      <c r="AH33" s="103"/>
    </row>
    <row r="34" spans="2:34" ht="7.5" customHeight="1" x14ac:dyDescent="0.2">
      <c r="L34" s="8"/>
      <c r="M34" s="8"/>
      <c r="N34" s="8"/>
      <c r="O34" s="8"/>
      <c r="P34" s="8"/>
      <c r="Q34" s="8"/>
      <c r="R34" s="8"/>
      <c r="S34" s="8"/>
      <c r="T34" s="122"/>
      <c r="U34" s="122"/>
      <c r="V34" s="122"/>
      <c r="W34" s="122"/>
      <c r="X34" s="122"/>
      <c r="Y34" s="122"/>
      <c r="Z34" s="122"/>
      <c r="AA34" s="122"/>
      <c r="AB34" s="403"/>
      <c r="AC34" s="403"/>
      <c r="AD34" s="403"/>
      <c r="AE34" s="122"/>
      <c r="AF34" s="122"/>
      <c r="AG34" s="122"/>
      <c r="AH34" s="103"/>
    </row>
    <row r="35" spans="2:34" ht="18" x14ac:dyDescent="0.25">
      <c r="B35" s="332"/>
      <c r="C35" s="332" t="s">
        <v>781</v>
      </c>
      <c r="D35" s="333"/>
      <c r="E35" s="333"/>
      <c r="F35" s="333"/>
      <c r="G35" s="333"/>
      <c r="H35" s="334"/>
      <c r="I35" s="334"/>
      <c r="J35" s="334"/>
      <c r="L35" s="8"/>
      <c r="M35" s="8"/>
      <c r="N35" s="8"/>
      <c r="O35" s="8"/>
      <c r="P35" s="8"/>
      <c r="Q35" s="8"/>
      <c r="R35" s="8"/>
      <c r="S35" s="8"/>
      <c r="T35" s="122"/>
      <c r="U35" s="122"/>
      <c r="V35" s="122"/>
      <c r="W35" s="122"/>
      <c r="X35" s="122"/>
      <c r="Y35" s="122"/>
      <c r="Z35" s="122"/>
      <c r="AA35" s="122"/>
      <c r="AB35" s="403"/>
      <c r="AC35" s="403"/>
      <c r="AD35" s="403"/>
      <c r="AE35" s="122"/>
      <c r="AF35" s="122"/>
      <c r="AG35" s="122"/>
      <c r="AH35" s="103"/>
    </row>
    <row r="36" spans="2:34" ht="6" customHeight="1" x14ac:dyDescent="0.3">
      <c r="B36" s="161"/>
      <c r="C36" s="161"/>
      <c r="D36" s="161"/>
      <c r="E36" s="161"/>
      <c r="F36" s="161"/>
      <c r="G36" s="161"/>
      <c r="H36" s="162"/>
      <c r="I36" s="162"/>
      <c r="J36" s="230"/>
      <c r="L36" s="8"/>
      <c r="M36" s="8"/>
      <c r="N36" s="8"/>
      <c r="O36" s="8"/>
      <c r="P36" s="8"/>
      <c r="Q36" s="8"/>
      <c r="R36" s="8"/>
      <c r="S36" s="8"/>
      <c r="T36" s="122"/>
      <c r="U36" s="122"/>
      <c r="V36" s="122"/>
      <c r="W36" s="122"/>
      <c r="X36" s="122"/>
      <c r="Y36" s="122"/>
      <c r="Z36" s="122"/>
      <c r="AA36" s="122"/>
      <c r="AB36" s="403"/>
      <c r="AC36" s="403"/>
      <c r="AD36" s="403"/>
      <c r="AE36" s="122"/>
      <c r="AF36" s="122"/>
      <c r="AG36" s="122"/>
      <c r="AH36" s="103"/>
    </row>
    <row r="37" spans="2:34" x14ac:dyDescent="0.2">
      <c r="B37" s="151"/>
      <c r="C37" s="151" t="s">
        <v>2212</v>
      </c>
      <c r="D37" s="141"/>
      <c r="E37" s="141"/>
      <c r="F37" s="141"/>
      <c r="G37" s="141" t="s">
        <v>98</v>
      </c>
      <c r="H37" s="185">
        <v>15</v>
      </c>
      <c r="I37" s="144" t="s">
        <v>89</v>
      </c>
      <c r="J37" s="235"/>
      <c r="L37" s="8"/>
      <c r="M37" s="8"/>
      <c r="N37" s="8"/>
      <c r="O37" s="8"/>
      <c r="P37" s="8"/>
      <c r="Q37" s="8"/>
      <c r="R37" s="8"/>
      <c r="S37" s="8"/>
      <c r="T37" s="122"/>
      <c r="U37" s="122"/>
      <c r="V37" s="122"/>
      <c r="W37" s="122"/>
      <c r="X37" s="122"/>
      <c r="Y37" s="122"/>
      <c r="Z37" s="122"/>
      <c r="AA37" s="122"/>
      <c r="AB37" s="403"/>
      <c r="AC37" s="403"/>
      <c r="AD37" s="403"/>
      <c r="AE37" s="122"/>
      <c r="AF37" s="122"/>
      <c r="AG37" s="122"/>
      <c r="AH37" s="103"/>
    </row>
    <row r="38" spans="2:34" x14ac:dyDescent="0.2">
      <c r="B38" s="151"/>
      <c r="C38" s="151"/>
      <c r="D38" s="141"/>
      <c r="E38" s="141"/>
      <c r="F38" s="141"/>
      <c r="G38" s="141" t="s">
        <v>82</v>
      </c>
      <c r="H38" s="207">
        <f>H37/H45*H44</f>
        <v>89.464285714285708</v>
      </c>
      <c r="I38" s="144" t="s">
        <v>1976</v>
      </c>
      <c r="J38" s="146"/>
      <c r="L38" s="8"/>
      <c r="M38" s="8"/>
      <c r="N38" s="8"/>
      <c r="O38" s="8"/>
      <c r="P38" s="8"/>
      <c r="Q38" s="8"/>
      <c r="R38" s="8"/>
      <c r="S38" s="8"/>
      <c r="T38" s="122"/>
      <c r="U38" s="122"/>
      <c r="V38" s="122"/>
      <c r="W38" s="122"/>
      <c r="X38" s="122"/>
      <c r="Y38" s="122"/>
      <c r="Z38" s="122"/>
      <c r="AA38" s="122"/>
      <c r="AB38" s="403"/>
      <c r="AC38" s="403"/>
      <c r="AD38" s="403"/>
      <c r="AE38" s="122"/>
      <c r="AF38" s="122"/>
      <c r="AG38" s="122"/>
      <c r="AH38" s="103"/>
    </row>
    <row r="39" spans="2:34" x14ac:dyDescent="0.2">
      <c r="B39" s="151"/>
      <c r="C39" s="151"/>
      <c r="D39" s="141"/>
      <c r="E39" s="141"/>
      <c r="F39" s="141"/>
      <c r="G39" s="141" t="s">
        <v>81</v>
      </c>
      <c r="H39" s="207">
        <f>(H46*H49)/100</f>
        <v>16.26347305389222</v>
      </c>
      <c r="I39" s="144" t="s">
        <v>90</v>
      </c>
      <c r="J39" s="146"/>
      <c r="L39" s="8"/>
      <c r="M39" s="8"/>
      <c r="N39" s="8"/>
      <c r="O39" s="8"/>
      <c r="P39" s="8"/>
      <c r="Q39" s="8"/>
      <c r="R39" s="8"/>
      <c r="S39" s="8"/>
      <c r="T39" s="122"/>
      <c r="U39" s="122"/>
      <c r="V39" s="122"/>
      <c r="W39" s="122"/>
      <c r="X39" s="122"/>
      <c r="Y39" s="122"/>
      <c r="Z39" s="122"/>
      <c r="AA39" s="122"/>
      <c r="AB39" s="403"/>
      <c r="AC39" s="403"/>
      <c r="AD39" s="403"/>
      <c r="AE39" s="122"/>
      <c r="AF39" s="122"/>
      <c r="AG39" s="122"/>
      <c r="AH39" s="103"/>
    </row>
    <row r="40" spans="2:34" x14ac:dyDescent="0.2">
      <c r="B40" s="141"/>
      <c r="C40" s="141"/>
      <c r="D40" s="141"/>
      <c r="E40" s="141"/>
      <c r="F40" s="141"/>
      <c r="G40" s="141" t="s">
        <v>933</v>
      </c>
      <c r="H40" s="207">
        <f>IF(C55="Gebäudeintegriert",H39*0.81,IF(C55="Aufdach",H39*0.86,H39*0.87))</f>
        <v>13.98658682634731</v>
      </c>
      <c r="I40" s="144" t="s">
        <v>90</v>
      </c>
      <c r="J40" s="146"/>
      <c r="L40" s="8"/>
      <c r="M40" s="8"/>
      <c r="N40" s="8"/>
      <c r="O40" s="8"/>
      <c r="P40" s="8"/>
      <c r="Q40" s="8"/>
      <c r="R40" s="8"/>
      <c r="S40" s="8"/>
      <c r="T40" s="122"/>
      <c r="U40" s="122"/>
      <c r="V40" s="122"/>
      <c r="W40" s="122"/>
      <c r="X40" s="122"/>
      <c r="Y40" s="122"/>
      <c r="Z40" s="122"/>
      <c r="AA40" s="122"/>
      <c r="AB40" s="122"/>
      <c r="AC40" s="122"/>
      <c r="AD40" s="122"/>
      <c r="AE40" s="122"/>
      <c r="AF40" s="122"/>
      <c r="AG40" s="122"/>
      <c r="AH40" s="103"/>
    </row>
    <row r="41" spans="2:34" x14ac:dyDescent="0.2">
      <c r="B41" s="141"/>
      <c r="C41" s="141"/>
      <c r="D41" s="141"/>
      <c r="E41" s="141"/>
      <c r="F41" s="141"/>
      <c r="G41" s="141" t="s">
        <v>1981</v>
      </c>
      <c r="H41" s="208">
        <f>ROUND(H37/H45,0)</f>
        <v>54</v>
      </c>
      <c r="I41" s="144" t="s">
        <v>1982</v>
      </c>
      <c r="J41" s="146"/>
      <c r="L41" s="8"/>
      <c r="M41" s="8"/>
      <c r="N41" s="8"/>
      <c r="O41" s="8"/>
      <c r="P41" s="8"/>
      <c r="Q41" s="8"/>
      <c r="R41" s="8"/>
      <c r="S41" s="8"/>
      <c r="T41" s="122"/>
      <c r="U41" s="122"/>
      <c r="V41" s="122"/>
      <c r="W41" s="122"/>
      <c r="X41" s="122"/>
      <c r="Y41" s="122"/>
      <c r="Z41" s="122"/>
      <c r="AA41" s="122"/>
      <c r="AB41" s="122"/>
      <c r="AC41" s="122"/>
      <c r="AD41" s="122"/>
      <c r="AE41" s="122"/>
      <c r="AF41" s="122"/>
      <c r="AG41" s="122"/>
      <c r="AH41" s="103"/>
    </row>
    <row r="42" spans="2:34" ht="5.25" customHeight="1" x14ac:dyDescent="0.2">
      <c r="B42" s="146"/>
      <c r="C42" s="146"/>
      <c r="D42" s="146"/>
      <c r="E42" s="146"/>
      <c r="F42" s="146"/>
      <c r="G42" s="146"/>
      <c r="H42" s="146"/>
      <c r="I42" s="146"/>
      <c r="J42" s="146"/>
      <c r="L42" s="8"/>
      <c r="M42" s="8"/>
      <c r="N42" s="8"/>
      <c r="O42" s="8"/>
      <c r="P42" s="8"/>
      <c r="Q42" s="8"/>
      <c r="R42" s="8"/>
      <c r="S42" s="8"/>
      <c r="T42" s="122"/>
      <c r="U42" s="122"/>
      <c r="V42" s="122"/>
      <c r="W42" s="122"/>
      <c r="X42" s="122"/>
      <c r="Y42" s="122"/>
      <c r="Z42" s="122"/>
      <c r="AA42" s="122"/>
      <c r="AB42" s="122"/>
      <c r="AC42" s="122"/>
      <c r="AD42" s="122"/>
      <c r="AE42" s="122"/>
      <c r="AF42" s="122"/>
      <c r="AG42" s="122"/>
      <c r="AH42" s="103"/>
    </row>
    <row r="43" spans="2:34" ht="7.5" customHeight="1" x14ac:dyDescent="0.2">
      <c r="B43" s="216"/>
      <c r="C43" s="216"/>
      <c r="D43" s="216"/>
      <c r="E43" s="216"/>
      <c r="F43" s="216"/>
      <c r="G43" s="216"/>
      <c r="H43" s="216"/>
      <c r="I43" s="216"/>
      <c r="J43" s="216"/>
      <c r="M43" s="231"/>
      <c r="N43" s="231"/>
      <c r="O43" s="231"/>
      <c r="P43" s="231"/>
      <c r="Q43" s="231"/>
      <c r="R43" s="231"/>
      <c r="S43" s="231"/>
      <c r="T43" s="122"/>
      <c r="U43" s="122"/>
      <c r="V43" s="122"/>
      <c r="W43" s="122"/>
      <c r="X43" s="122"/>
      <c r="Y43" s="122"/>
      <c r="Z43" s="122"/>
      <c r="AA43" s="122"/>
      <c r="AB43" s="122"/>
      <c r="AC43" s="122"/>
      <c r="AD43" s="122"/>
      <c r="AE43" s="122"/>
      <c r="AF43" s="122"/>
      <c r="AG43" s="122"/>
      <c r="AH43" s="103"/>
    </row>
    <row r="44" spans="2:34" ht="18" x14ac:dyDescent="0.25">
      <c r="B44" s="151"/>
      <c r="C44" s="151" t="s">
        <v>2213</v>
      </c>
      <c r="D44" s="151"/>
      <c r="E44" s="141"/>
      <c r="F44" s="141"/>
      <c r="G44" s="141" t="s">
        <v>2600</v>
      </c>
      <c r="H44" s="209">
        <v>1.67</v>
      </c>
      <c r="I44" s="144" t="s">
        <v>1977</v>
      </c>
      <c r="J44" s="146"/>
      <c r="L44" s="332"/>
      <c r="M44" s="332" t="s">
        <v>2606</v>
      </c>
      <c r="N44" s="333"/>
      <c r="O44" s="333"/>
      <c r="P44" s="333"/>
      <c r="Q44" s="333"/>
      <c r="R44" s="334"/>
      <c r="S44" s="334"/>
      <c r="T44" s="122"/>
      <c r="U44" s="122"/>
      <c r="V44" s="122"/>
      <c r="W44" s="122"/>
      <c r="X44" s="122"/>
      <c r="Y44" s="122"/>
      <c r="Z44" s="122"/>
      <c r="AA44" s="122"/>
      <c r="AB44" s="122"/>
      <c r="AC44" s="122"/>
      <c r="AD44" s="122"/>
      <c r="AE44" s="122"/>
      <c r="AF44" s="122"/>
      <c r="AG44" s="122"/>
      <c r="AH44" s="103"/>
    </row>
    <row r="45" spans="2:34" x14ac:dyDescent="0.2">
      <c r="B45" s="141"/>
      <c r="C45" s="141"/>
      <c r="D45" s="141"/>
      <c r="E45" s="141"/>
      <c r="F45" s="141"/>
      <c r="G45" s="141" t="s">
        <v>931</v>
      </c>
      <c r="H45" s="183">
        <v>0.28000000000000003</v>
      </c>
      <c r="I45" s="144" t="s">
        <v>1978</v>
      </c>
      <c r="J45" s="146"/>
      <c r="L45" s="221"/>
      <c r="M45" s="221"/>
      <c r="N45" s="10"/>
      <c r="O45" s="10"/>
      <c r="P45" s="10"/>
      <c r="Q45" s="10"/>
      <c r="R45" s="10"/>
      <c r="S45" s="10"/>
      <c r="T45" s="122"/>
      <c r="U45" s="122"/>
      <c r="V45" s="122"/>
      <c r="W45" s="122"/>
      <c r="X45" s="122"/>
      <c r="Y45" s="122"/>
      <c r="Z45" s="122"/>
      <c r="AA45" s="122"/>
      <c r="AB45" s="122"/>
      <c r="AC45" s="122"/>
      <c r="AD45" s="122"/>
      <c r="AE45" s="122"/>
      <c r="AF45" s="122"/>
      <c r="AG45" s="122"/>
      <c r="AH45" s="103"/>
    </row>
    <row r="46" spans="2:34" ht="13.7" customHeight="1" x14ac:dyDescent="0.2">
      <c r="B46" s="141"/>
      <c r="C46" s="141"/>
      <c r="D46" s="141"/>
      <c r="E46" s="141"/>
      <c r="F46" s="141"/>
      <c r="G46" s="141" t="s">
        <v>930</v>
      </c>
      <c r="H46" s="207">
        <f>(H45/H44)*100</f>
        <v>16.766467065868266</v>
      </c>
      <c r="I46" s="144" t="s">
        <v>90</v>
      </c>
      <c r="J46" s="146"/>
      <c r="L46" s="10"/>
      <c r="M46" s="10"/>
      <c r="N46" s="10"/>
      <c r="O46" s="10"/>
      <c r="P46" s="10"/>
      <c r="Q46" s="10"/>
      <c r="R46" s="10"/>
      <c r="S46" s="10"/>
      <c r="T46" s="122"/>
      <c r="U46" s="122"/>
      <c r="V46" s="122"/>
      <c r="W46" s="122"/>
      <c r="X46" s="122"/>
      <c r="Y46" s="122"/>
      <c r="Z46" s="122"/>
      <c r="AA46" s="122"/>
      <c r="AB46" s="122"/>
      <c r="AC46" s="122"/>
      <c r="AD46" s="122"/>
      <c r="AE46" s="122"/>
      <c r="AF46" s="122"/>
      <c r="AG46" s="122"/>
      <c r="AH46" s="103"/>
    </row>
    <row r="47" spans="2:34" ht="5.25" customHeight="1" x14ac:dyDescent="0.2">
      <c r="B47" s="194"/>
      <c r="C47" s="194"/>
      <c r="D47" s="194"/>
      <c r="E47" s="194"/>
      <c r="F47" s="194"/>
      <c r="G47" s="194"/>
      <c r="H47" s="194"/>
      <c r="I47" s="194"/>
      <c r="J47" s="194"/>
      <c r="L47" s="10"/>
      <c r="M47" s="10"/>
      <c r="N47" s="10"/>
      <c r="O47" s="10"/>
      <c r="P47" s="10"/>
      <c r="Q47" s="10"/>
      <c r="R47" s="10"/>
      <c r="S47" s="10"/>
      <c r="T47" s="122"/>
      <c r="U47" s="122"/>
      <c r="V47" s="122"/>
      <c r="W47" s="122"/>
      <c r="X47" s="122"/>
      <c r="Y47" s="122"/>
      <c r="Z47" s="122"/>
      <c r="AA47" s="122"/>
      <c r="AB47" s="122"/>
      <c r="AC47" s="122"/>
      <c r="AD47" s="122"/>
      <c r="AE47" s="122"/>
      <c r="AF47" s="122"/>
      <c r="AG47" s="122"/>
      <c r="AH47" s="103"/>
    </row>
    <row r="48" spans="2:34" ht="5.25" customHeight="1" x14ac:dyDescent="0.2">
      <c r="B48" s="146"/>
      <c r="C48" s="146"/>
      <c r="D48" s="146"/>
      <c r="E48" s="146"/>
      <c r="F48" s="146"/>
      <c r="G48" s="146"/>
      <c r="H48" s="146"/>
      <c r="I48" s="146"/>
      <c r="J48" s="146"/>
      <c r="L48" s="232"/>
      <c r="M48" s="232"/>
      <c r="N48" s="149"/>
      <c r="O48" s="149"/>
      <c r="P48" s="149"/>
      <c r="Q48" s="149"/>
      <c r="R48" s="149"/>
      <c r="S48" s="149"/>
      <c r="T48" s="122"/>
      <c r="U48" s="122"/>
      <c r="V48" s="122"/>
      <c r="W48" s="122"/>
      <c r="X48" s="122"/>
      <c r="Y48" s="122"/>
      <c r="Z48" s="122"/>
      <c r="AA48" s="122"/>
      <c r="AB48" s="122"/>
      <c r="AC48" s="122"/>
      <c r="AD48" s="122"/>
      <c r="AE48" s="122"/>
      <c r="AF48" s="122"/>
      <c r="AG48" s="122"/>
      <c r="AH48" s="103"/>
    </row>
    <row r="49" spans="2:34" ht="12.75" customHeight="1" x14ac:dyDescent="0.2">
      <c r="B49" s="151"/>
      <c r="C49" s="151" t="s">
        <v>2214</v>
      </c>
      <c r="D49" s="141"/>
      <c r="E49" s="141"/>
      <c r="F49" s="141"/>
      <c r="G49" s="141" t="s">
        <v>929</v>
      </c>
      <c r="H49" s="210">
        <v>97</v>
      </c>
      <c r="I49" s="144" t="s">
        <v>90</v>
      </c>
      <c r="J49" s="146"/>
      <c r="L49" s="149"/>
      <c r="M49" s="149"/>
      <c r="N49" s="149"/>
      <c r="O49" s="149"/>
      <c r="P49" s="149"/>
      <c r="Q49" s="149"/>
      <c r="R49" s="149"/>
      <c r="S49" s="149"/>
      <c r="T49" s="122"/>
      <c r="U49" s="122"/>
      <c r="V49" s="122"/>
      <c r="W49" s="122"/>
      <c r="X49" s="122"/>
      <c r="Y49" s="122"/>
      <c r="Z49" s="122"/>
      <c r="AA49" s="122"/>
      <c r="AB49" s="122"/>
      <c r="AC49" s="122"/>
      <c r="AD49" s="122"/>
      <c r="AE49" s="122"/>
      <c r="AF49" s="122"/>
      <c r="AG49" s="122"/>
      <c r="AH49" s="103"/>
    </row>
    <row r="50" spans="2:34" ht="5.25" customHeight="1" x14ac:dyDescent="0.2">
      <c r="B50" s="146"/>
      <c r="C50" s="146"/>
      <c r="D50" s="146"/>
      <c r="E50" s="146"/>
      <c r="F50" s="146"/>
      <c r="G50" s="146"/>
      <c r="H50" s="146"/>
      <c r="I50" s="146"/>
      <c r="J50" s="146"/>
      <c r="L50" s="149"/>
      <c r="M50" s="149"/>
      <c r="N50" s="149"/>
      <c r="O50" s="149"/>
      <c r="P50" s="149"/>
      <c r="Q50" s="149"/>
      <c r="R50" s="149"/>
      <c r="S50" s="149"/>
      <c r="T50" s="122"/>
      <c r="U50" s="122"/>
      <c r="V50" s="122"/>
      <c r="W50" s="122"/>
      <c r="X50" s="122"/>
      <c r="Y50" s="122"/>
      <c r="Z50" s="122"/>
      <c r="AA50" s="122"/>
      <c r="AB50" s="122"/>
      <c r="AC50" s="122"/>
      <c r="AD50" s="122"/>
      <c r="AE50" s="122"/>
      <c r="AF50" s="122"/>
      <c r="AG50" s="122"/>
      <c r="AH50" s="103"/>
    </row>
    <row r="51" spans="2:34" ht="7.5" customHeight="1" x14ac:dyDescent="0.2">
      <c r="K51" s="7"/>
      <c r="L51" s="149"/>
      <c r="M51" s="149"/>
      <c r="N51" s="149"/>
      <c r="O51" s="149"/>
      <c r="P51" s="149"/>
      <c r="Q51" s="149"/>
      <c r="R51" s="149"/>
      <c r="S51" s="149"/>
      <c r="T51" s="122"/>
      <c r="U51" s="122"/>
      <c r="V51" s="122"/>
      <c r="W51" s="122"/>
      <c r="X51" s="127"/>
      <c r="Y51" s="122"/>
      <c r="Z51" s="122"/>
      <c r="AA51" s="122"/>
      <c r="AB51" s="122"/>
      <c r="AC51" s="122"/>
      <c r="AD51" s="122"/>
      <c r="AE51" s="122"/>
      <c r="AF51" s="122"/>
      <c r="AG51" s="122"/>
      <c r="AH51" s="103"/>
    </row>
    <row r="52" spans="2:34" ht="18" x14ac:dyDescent="0.25">
      <c r="B52" s="332"/>
      <c r="C52" s="332" t="str">
        <f>"3. Förderungen für "&amp;IF(H12="","??? - PLZ erforderlich!",'PLZ-Zuordnung'!J4)</f>
        <v>3. Förderungen für Oberösterreich</v>
      </c>
      <c r="D52" s="333"/>
      <c r="E52" s="333"/>
      <c r="F52" s="333"/>
      <c r="G52" s="333"/>
      <c r="H52" s="334"/>
      <c r="I52" s="334"/>
      <c r="J52" s="334"/>
      <c r="L52" s="149"/>
      <c r="M52" s="149"/>
      <c r="N52" s="149"/>
      <c r="O52" s="149"/>
      <c r="P52" s="149"/>
      <c r="Q52" s="149"/>
      <c r="R52" s="149"/>
      <c r="S52" s="149"/>
      <c r="T52" s="122"/>
      <c r="U52" s="122"/>
      <c r="V52" s="122"/>
      <c r="W52" s="122"/>
      <c r="X52" s="127"/>
      <c r="Y52" s="122"/>
      <c r="Z52" s="122"/>
      <c r="AA52" s="122"/>
      <c r="AB52" s="122"/>
      <c r="AC52" s="122"/>
      <c r="AD52" s="122"/>
      <c r="AE52" s="122"/>
      <c r="AF52" s="122"/>
      <c r="AG52" s="122"/>
      <c r="AH52" s="103"/>
    </row>
    <row r="53" spans="2:34" ht="6" customHeight="1" x14ac:dyDescent="0.3">
      <c r="B53" s="243"/>
      <c r="C53" s="161"/>
      <c r="D53" s="161"/>
      <c r="E53" s="161"/>
      <c r="F53" s="161"/>
      <c r="G53" s="161"/>
      <c r="H53" s="162"/>
      <c r="I53" s="162"/>
      <c r="J53" s="230"/>
      <c r="L53" s="149"/>
      <c r="M53" s="149"/>
      <c r="N53" s="149"/>
      <c r="O53" s="149"/>
      <c r="P53" s="149"/>
      <c r="Q53" s="149"/>
      <c r="R53" s="149"/>
      <c r="S53" s="149"/>
      <c r="T53" s="122"/>
      <c r="U53" s="122"/>
      <c r="V53" s="122"/>
      <c r="W53" s="122"/>
      <c r="X53" s="127"/>
      <c r="Y53" s="122"/>
      <c r="Z53" s="122"/>
      <c r="AA53" s="122"/>
      <c r="AB53" s="122"/>
      <c r="AC53" s="122"/>
      <c r="AD53" s="122"/>
      <c r="AE53" s="122"/>
      <c r="AF53" s="122"/>
      <c r="AG53" s="122"/>
      <c r="AH53" s="103"/>
    </row>
    <row r="54" spans="2:34" x14ac:dyDescent="0.2">
      <c r="B54" s="239"/>
      <c r="C54" s="295" t="s">
        <v>2590</v>
      </c>
      <c r="D54" s="487" t="s">
        <v>2163</v>
      </c>
      <c r="E54" s="505"/>
      <c r="F54" s="514" t="s">
        <v>827</v>
      </c>
      <c r="G54" s="505"/>
      <c r="H54" s="514" t="s">
        <v>824</v>
      </c>
      <c r="I54" s="505"/>
      <c r="J54" s="146"/>
      <c r="L54" s="149"/>
      <c r="M54" s="149"/>
      <c r="N54" s="149"/>
      <c r="O54" s="149"/>
      <c r="P54" s="149"/>
      <c r="Q54" s="149"/>
      <c r="R54" s="149"/>
      <c r="S54" s="149"/>
      <c r="T54" s="122"/>
      <c r="U54" s="122"/>
      <c r="V54" s="122"/>
      <c r="W54" s="122"/>
      <c r="X54" s="127"/>
      <c r="Y54" s="122"/>
      <c r="Z54" s="122"/>
      <c r="AA54" s="122"/>
      <c r="AB54" s="122"/>
      <c r="AC54" s="122"/>
      <c r="AD54" s="122"/>
      <c r="AE54" s="122"/>
      <c r="AF54" s="122"/>
      <c r="AG54" s="122"/>
      <c r="AH54" s="103"/>
    </row>
    <row r="55" spans="2:34" x14ac:dyDescent="0.2">
      <c r="B55" s="239"/>
      <c r="C55" s="419" t="s">
        <v>899</v>
      </c>
      <c r="D55" s="197" t="s">
        <v>2053</v>
      </c>
      <c r="E55" s="197" t="s">
        <v>2053</v>
      </c>
      <c r="F55" s="487" t="s">
        <v>826</v>
      </c>
      <c r="G55" s="487"/>
      <c r="H55" s="198" t="s">
        <v>826</v>
      </c>
      <c r="I55" s="436" t="str">
        <f>IF(C57=C196,C196,IF(C57=C197,C197,"Zu-/Abschläge"))</f>
        <v>Zu-/Abschläge</v>
      </c>
      <c r="J55" s="146"/>
      <c r="L55" s="149"/>
      <c r="M55" s="149"/>
      <c r="N55" s="149"/>
      <c r="O55" s="149"/>
      <c r="P55" s="149"/>
      <c r="Q55" s="149"/>
      <c r="R55" s="149"/>
      <c r="S55" s="149"/>
      <c r="T55" s="122"/>
      <c r="U55" s="122"/>
      <c r="V55" s="122"/>
      <c r="W55" s="122"/>
      <c r="X55" s="127"/>
      <c r="Y55" s="122"/>
      <c r="Z55" s="122"/>
      <c r="AA55" s="122"/>
      <c r="AB55" s="122"/>
      <c r="AC55" s="122"/>
      <c r="AD55" s="122"/>
      <c r="AE55" s="122"/>
      <c r="AF55" s="122"/>
      <c r="AG55" s="122"/>
      <c r="AH55" s="103"/>
    </row>
    <row r="56" spans="2:34" x14ac:dyDescent="0.2">
      <c r="B56" s="239"/>
      <c r="C56" s="434" t="s">
        <v>2729</v>
      </c>
      <c r="D56" s="199"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0,01-10</v>
      </c>
      <c r="E56" s="200"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199" t="str">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v>
      </c>
      <c r="G56" s="201"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v>
      </c>
      <c r="H56" s="202">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350</v>
      </c>
      <c r="I56" s="437">
        <f>IF($C$57=$C$196,H56*0.3,IF($C$57=$C$197,H56*0.25,0))</f>
        <v>0</v>
      </c>
      <c r="J56" s="146"/>
      <c r="L56" s="233"/>
      <c r="M56" s="233"/>
      <c r="N56" s="99"/>
      <c r="O56" s="99"/>
      <c r="P56" s="99"/>
      <c r="Q56" s="10"/>
      <c r="R56" s="10"/>
      <c r="S56" s="10"/>
      <c r="T56" s="122"/>
      <c r="U56" s="122"/>
      <c r="V56" s="122"/>
      <c r="W56" s="122"/>
      <c r="X56" s="127"/>
      <c r="Y56" s="122"/>
      <c r="Z56" s="122"/>
      <c r="AA56" s="122"/>
      <c r="AB56" s="122"/>
      <c r="AC56" s="122"/>
      <c r="AD56" s="122"/>
      <c r="AE56" s="122"/>
      <c r="AF56" s="122"/>
      <c r="AG56" s="122"/>
      <c r="AH56" s="103"/>
    </row>
    <row r="57" spans="2:34" ht="12.75" customHeight="1" x14ac:dyDescent="0.2">
      <c r="B57" s="239"/>
      <c r="C57" s="438" t="s">
        <v>2731</v>
      </c>
      <c r="D57" s="435" t="str">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&gt;10-35</v>
      </c>
      <c r="E57" s="200"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199" t="str">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v>
      </c>
      <c r="G57" s="201"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v>
      </c>
      <c r="H57" s="202">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350</v>
      </c>
      <c r="I57" s="437">
        <f>IF($C$57=$C$196,H57*0.3,IF($C$57=$C$197,H57*0.25,0))</f>
        <v>0</v>
      </c>
      <c r="J57" s="146"/>
      <c r="L57" s="153"/>
      <c r="M57" s="153"/>
      <c r="N57" s="153"/>
      <c r="O57" s="99"/>
      <c r="P57" s="99"/>
      <c r="Q57" s="10"/>
      <c r="R57" s="10"/>
      <c r="S57" s="10"/>
      <c r="T57" s="122"/>
      <c r="U57" s="122"/>
      <c r="V57" s="122"/>
      <c r="W57" s="122"/>
      <c r="X57" s="127"/>
      <c r="Y57" s="122"/>
      <c r="Z57" s="122"/>
      <c r="AA57" s="122"/>
      <c r="AB57" s="122"/>
      <c r="AC57" s="122"/>
      <c r="AD57" s="122"/>
      <c r="AE57" s="122"/>
      <c r="AF57" s="122"/>
      <c r="AG57" s="122"/>
      <c r="AH57" s="103"/>
    </row>
    <row r="58" spans="2:34" x14ac:dyDescent="0.2">
      <c r="B58" s="239"/>
      <c r="C58" s="141"/>
      <c r="D58" s="199" t="str">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&gt;35-100</v>
      </c>
      <c r="E58" s="200"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199" t="str">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v>
      </c>
      <c r="G58" s="201"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v>
      </c>
      <c r="H58" s="202">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0</v>
      </c>
      <c r="I58" s="437">
        <f>IF($C$57=$C$196,H58*0.3,IF($C$57=$C$197,H58*0.25,0))</f>
        <v>0</v>
      </c>
      <c r="J58" s="146"/>
      <c r="L58" s="221"/>
      <c r="M58" s="221"/>
      <c r="N58" s="10"/>
      <c r="O58" s="10"/>
      <c r="P58" s="10"/>
      <c r="Q58" s="10"/>
      <c r="R58" s="10"/>
      <c r="S58" s="10"/>
      <c r="T58" s="122"/>
      <c r="U58" s="122"/>
      <c r="V58" s="122"/>
      <c r="W58" s="122"/>
      <c r="X58" s="122"/>
      <c r="Y58" s="122"/>
      <c r="Z58" s="122"/>
      <c r="AA58" s="122"/>
      <c r="AB58" s="122"/>
      <c r="AC58" s="122"/>
      <c r="AD58" s="122"/>
      <c r="AE58" s="122"/>
      <c r="AF58" s="122"/>
      <c r="AG58" s="122"/>
      <c r="AH58" s="103"/>
    </row>
    <row r="59" spans="2:34" x14ac:dyDescent="0.2">
      <c r="B59" s="239"/>
      <c r="C59" s="141"/>
      <c r="D59" s="199"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&gt;100-1000</v>
      </c>
      <c r="E59" s="200"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199" t="str">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v>
      </c>
      <c r="G59" s="201"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v>
      </c>
      <c r="H59" s="202">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0</v>
      </c>
      <c r="I59" s="437">
        <f>IF($C$57=$C$196,H59*0.3,IF($C$57=$C$197,H59*0.25,0))</f>
        <v>0</v>
      </c>
      <c r="J59" s="146"/>
      <c r="L59" s="10"/>
      <c r="M59" s="10"/>
      <c r="N59" s="10"/>
      <c r="O59" s="100"/>
      <c r="P59" s="13"/>
      <c r="Q59" s="10"/>
      <c r="R59" s="10"/>
      <c r="S59" s="234"/>
      <c r="T59" s="122"/>
      <c r="U59" s="122"/>
      <c r="V59" s="122"/>
      <c r="W59" s="122"/>
      <c r="X59" s="122"/>
      <c r="Y59" s="122"/>
      <c r="Z59" s="122"/>
      <c r="AA59" s="122"/>
      <c r="AB59" s="122"/>
      <c r="AC59" s="128"/>
      <c r="AD59" s="122"/>
      <c r="AE59" s="122"/>
      <c r="AF59" s="122"/>
      <c r="AG59" s="122"/>
      <c r="AH59" s="103"/>
    </row>
    <row r="60" spans="2:34" ht="12.75" customHeight="1" x14ac:dyDescent="0.2">
      <c r="B60" s="239"/>
      <c r="C60" s="163"/>
      <c r="D60" s="439" t="s">
        <v>2736</v>
      </c>
      <c r="E60" s="204"/>
      <c r="F60" s="203"/>
      <c r="G60" s="163"/>
      <c r="H60" s="205"/>
      <c r="I60" s="206"/>
      <c r="J60" s="146"/>
      <c r="L60" s="221"/>
      <c r="M60" s="221"/>
      <c r="N60" s="10"/>
      <c r="O60" s="10"/>
      <c r="P60" s="10"/>
      <c r="Q60" s="10"/>
      <c r="R60" s="10"/>
      <c r="S60" s="10"/>
      <c r="T60" s="122"/>
      <c r="U60" s="122"/>
      <c r="V60" s="122"/>
      <c r="W60" s="122"/>
      <c r="X60" s="129"/>
      <c r="Y60" s="122"/>
      <c r="Z60" s="122"/>
      <c r="AA60" s="122"/>
      <c r="AB60" s="122"/>
      <c r="AC60" s="122"/>
      <c r="AD60" s="122"/>
      <c r="AE60" s="122"/>
      <c r="AF60" s="122"/>
      <c r="AG60" s="122"/>
      <c r="AH60" s="103"/>
    </row>
    <row r="61" spans="2:34" x14ac:dyDescent="0.2">
      <c r="B61" s="239"/>
      <c r="C61" s="236"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63"/>
      <c r="E61" s="141"/>
      <c r="F61" s="141"/>
      <c r="G61" s="146"/>
      <c r="H61" s="146"/>
      <c r="I61" s="146"/>
      <c r="J61" s="146"/>
      <c r="L61" s="221"/>
      <c r="M61" s="221"/>
      <c r="N61" s="10"/>
      <c r="O61" s="10"/>
      <c r="P61" s="10"/>
      <c r="Q61" s="10"/>
      <c r="R61" s="10"/>
      <c r="S61" s="10"/>
      <c r="T61" s="122"/>
      <c r="U61" s="122"/>
      <c r="V61" s="122"/>
      <c r="W61" s="122"/>
      <c r="X61" s="122"/>
      <c r="Y61" s="122"/>
      <c r="Z61" s="122"/>
      <c r="AA61" s="122"/>
      <c r="AB61" s="122"/>
      <c r="AC61" s="122"/>
      <c r="AD61" s="122"/>
      <c r="AE61" s="122"/>
      <c r="AF61" s="122"/>
      <c r="AG61" s="122"/>
      <c r="AH61" s="103"/>
    </row>
    <row r="62" spans="2:34" x14ac:dyDescent="0.2">
      <c r="B62" s="239"/>
      <c r="C62" s="163"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keine Landesförderung</v>
      </c>
      <c r="D62" s="146"/>
      <c r="E62" s="141"/>
      <c r="F62" s="141"/>
      <c r="G62" s="146"/>
      <c r="H62" s="146"/>
      <c r="I62" s="146"/>
      <c r="J62" s="146"/>
      <c r="L62" s="221"/>
      <c r="M62" s="221"/>
      <c r="N62" s="10"/>
      <c r="O62" s="10"/>
      <c r="P62" s="10"/>
      <c r="Q62" s="10"/>
      <c r="R62" s="10"/>
      <c r="S62" s="10"/>
      <c r="T62" s="122"/>
      <c r="U62" s="122"/>
      <c r="V62" s="122"/>
      <c r="W62" s="122"/>
      <c r="X62" s="122"/>
      <c r="Y62" s="122"/>
      <c r="Z62" s="122"/>
      <c r="AA62" s="122"/>
      <c r="AB62" s="122"/>
      <c r="AC62" s="122"/>
      <c r="AD62" s="122"/>
      <c r="AE62" s="122"/>
      <c r="AF62" s="122"/>
      <c r="AG62" s="122"/>
      <c r="AH62" s="103"/>
    </row>
    <row r="63" spans="2:34" x14ac:dyDescent="0.2">
      <c r="B63" s="239"/>
      <c r="C63" s="146"/>
      <c r="D63" s="146"/>
      <c r="E63" s="146"/>
      <c r="F63" s="146"/>
      <c r="G63" s="164" t="s">
        <v>860</v>
      </c>
      <c r="H63" s="490" t="s">
        <v>2739</v>
      </c>
      <c r="I63" s="491"/>
      <c r="J63" s="146"/>
      <c r="L63" s="10"/>
      <c r="M63" s="10"/>
      <c r="N63" s="10"/>
      <c r="O63" s="10"/>
      <c r="P63" s="10"/>
      <c r="Q63" s="10"/>
      <c r="R63" s="10"/>
      <c r="S63" s="10"/>
      <c r="T63" s="122"/>
      <c r="U63" s="122"/>
      <c r="V63" s="122"/>
      <c r="W63" s="122"/>
      <c r="X63" s="122"/>
      <c r="Y63" s="122"/>
      <c r="Z63" s="122"/>
      <c r="AA63" s="122"/>
      <c r="AB63" s="122"/>
      <c r="AC63" s="122"/>
      <c r="AD63" s="122"/>
      <c r="AE63" s="122"/>
      <c r="AF63" s="122"/>
      <c r="AG63" s="122"/>
      <c r="AH63" s="103"/>
    </row>
    <row r="64" spans="2:34" ht="7.5" customHeight="1" x14ac:dyDescent="0.2">
      <c r="B64" s="239"/>
      <c r="C64" s="146"/>
      <c r="D64" s="146"/>
      <c r="E64" s="146"/>
      <c r="F64" s="146"/>
      <c r="G64" s="165" t="str">
        <f>IF(H63="Fördertarif","*","")</f>
        <v/>
      </c>
      <c r="H64" s="242" t="str">
        <f>IF(H63="Fördertarif","Achtung: siehe Hinweis!","")</f>
        <v/>
      </c>
      <c r="I64" s="146"/>
      <c r="J64" s="146"/>
      <c r="L64" s="7"/>
      <c r="T64" s="122"/>
      <c r="U64" s="122"/>
      <c r="V64" s="122"/>
      <c r="W64" s="122"/>
      <c r="X64" s="129"/>
      <c r="Y64" s="122"/>
      <c r="Z64" s="122"/>
      <c r="AA64" s="122"/>
      <c r="AB64" s="122"/>
      <c r="AC64" s="122"/>
      <c r="AD64" s="122"/>
      <c r="AE64" s="122"/>
      <c r="AF64" s="122"/>
      <c r="AG64" s="122"/>
      <c r="AH64" s="103"/>
    </row>
    <row r="65" spans="2:34" ht="18" customHeight="1" x14ac:dyDescent="0.25">
      <c r="B65" s="239"/>
      <c r="C65" s="237"/>
      <c r="D65" s="166"/>
      <c r="E65" s="167"/>
      <c r="F65" s="141"/>
      <c r="G65" s="164" t="s">
        <v>2610</v>
      </c>
      <c r="H65" s="492" t="s">
        <v>1658</v>
      </c>
      <c r="I65" s="493"/>
      <c r="J65" s="146"/>
      <c r="L65" s="332"/>
      <c r="M65" s="332" t="s">
        <v>2618</v>
      </c>
      <c r="N65" s="333"/>
      <c r="O65" s="333"/>
      <c r="P65" s="333"/>
      <c r="Q65" s="333"/>
      <c r="R65" s="334"/>
      <c r="S65" s="334"/>
      <c r="T65" s="122"/>
      <c r="U65" s="122"/>
      <c r="V65" s="122"/>
      <c r="W65" s="122"/>
      <c r="X65" s="129"/>
      <c r="Y65" s="122"/>
      <c r="Z65" s="122"/>
      <c r="AA65" s="122"/>
      <c r="AB65" s="122"/>
      <c r="AC65" s="122"/>
      <c r="AD65" s="122"/>
      <c r="AE65" s="122"/>
      <c r="AF65" s="122"/>
      <c r="AG65" s="122"/>
      <c r="AH65" s="103"/>
    </row>
    <row r="66" spans="2:34" ht="18" customHeight="1" x14ac:dyDescent="0.2">
      <c r="B66" s="239"/>
      <c r="C66" s="488"/>
      <c r="D66" s="489"/>
      <c r="E66" s="146"/>
      <c r="F66" s="146"/>
      <c r="G66" s="146"/>
      <c r="H66" s="492" t="s">
        <v>1658</v>
      </c>
      <c r="I66" s="493"/>
      <c r="J66" s="146"/>
      <c r="L66" s="113"/>
      <c r="M66" s="113"/>
      <c r="N66" s="112"/>
      <c r="O66" s="112"/>
      <c r="P66" s="112"/>
      <c r="Q66" s="112"/>
      <c r="R66" s="112"/>
      <c r="S66" s="112"/>
      <c r="T66" s="122"/>
      <c r="U66" s="122"/>
      <c r="V66" s="122"/>
      <c r="W66" s="122"/>
      <c r="X66" s="122"/>
      <c r="Y66" s="122"/>
      <c r="Z66" s="122"/>
      <c r="AA66" s="122"/>
      <c r="AB66" s="122"/>
      <c r="AC66" s="122"/>
      <c r="AD66" s="122"/>
      <c r="AE66" s="122"/>
      <c r="AF66" s="122"/>
      <c r="AG66" s="122"/>
      <c r="AH66" s="103"/>
    </row>
    <row r="67" spans="2:34" x14ac:dyDescent="0.2">
      <c r="B67" s="239"/>
      <c r="C67" s="238"/>
      <c r="D67" s="146"/>
      <c r="E67" s="146"/>
      <c r="F67" s="141"/>
      <c r="G67" s="164" t="s">
        <v>1375</v>
      </c>
      <c r="H67" s="292"/>
      <c r="I67" s="293"/>
      <c r="J67" s="146"/>
      <c r="L67" s="112"/>
      <c r="M67" s="112"/>
      <c r="N67" s="112"/>
      <c r="O67" s="112"/>
      <c r="P67" s="112"/>
      <c r="Q67" s="112"/>
      <c r="R67" s="112"/>
      <c r="S67" s="112"/>
      <c r="T67" s="122"/>
      <c r="U67" s="122"/>
      <c r="V67" s="122"/>
      <c r="W67" s="122"/>
      <c r="X67" s="122"/>
      <c r="Y67" s="122"/>
      <c r="Z67" s="122"/>
      <c r="AA67" s="122"/>
      <c r="AB67" s="122"/>
      <c r="AC67" s="122"/>
      <c r="AD67" s="122"/>
      <c r="AE67" s="122"/>
      <c r="AF67" s="122"/>
      <c r="AG67" s="122"/>
      <c r="AH67" s="103"/>
    </row>
    <row r="68" spans="2:34" ht="5.25" customHeight="1" x14ac:dyDescent="0.2">
      <c r="B68" s="228"/>
      <c r="C68" s="194"/>
      <c r="D68" s="194"/>
      <c r="E68" s="194"/>
      <c r="F68" s="194"/>
      <c r="G68" s="194"/>
      <c r="H68" s="194"/>
      <c r="I68" s="194"/>
      <c r="J68" s="194"/>
      <c r="L68" s="112"/>
      <c r="M68" s="112"/>
      <c r="N68" s="112"/>
      <c r="O68" s="112"/>
      <c r="P68" s="112"/>
      <c r="Q68" s="112"/>
      <c r="R68" s="112"/>
      <c r="S68" s="112"/>
      <c r="T68" s="122"/>
      <c r="U68" s="122"/>
      <c r="V68" s="122"/>
      <c r="W68" s="122"/>
      <c r="X68" s="122"/>
      <c r="Y68" s="122"/>
      <c r="Z68" s="122"/>
      <c r="AA68" s="122"/>
      <c r="AB68" s="122"/>
      <c r="AC68" s="122"/>
      <c r="AD68" s="122"/>
      <c r="AE68" s="122"/>
      <c r="AF68" s="122"/>
      <c r="AG68" s="122"/>
      <c r="AH68" s="103"/>
    </row>
    <row r="69" spans="2:34" ht="5.25" customHeight="1" x14ac:dyDescent="0.2">
      <c r="B69" s="146"/>
      <c r="C69" s="146"/>
      <c r="D69" s="146"/>
      <c r="E69" s="146"/>
      <c r="F69" s="146"/>
      <c r="G69" s="146"/>
      <c r="H69" s="146"/>
      <c r="I69" s="146"/>
      <c r="J69" s="146"/>
      <c r="L69" s="113"/>
      <c r="M69" s="113"/>
      <c r="N69" s="112"/>
      <c r="O69" s="112"/>
      <c r="P69" s="112"/>
      <c r="Q69" s="112"/>
      <c r="R69" s="112"/>
      <c r="S69" s="112"/>
      <c r="T69" s="122"/>
      <c r="U69" s="122"/>
      <c r="V69" s="122"/>
      <c r="W69" s="122"/>
      <c r="X69" s="122"/>
      <c r="Y69" s="122"/>
      <c r="Z69" s="122"/>
      <c r="AA69" s="122"/>
      <c r="AB69" s="122"/>
      <c r="AC69" s="122"/>
      <c r="AD69" s="122"/>
      <c r="AE69" s="122"/>
      <c r="AF69" s="122"/>
      <c r="AG69" s="122"/>
      <c r="AH69" s="103"/>
    </row>
    <row r="70" spans="2:34" x14ac:dyDescent="0.2">
      <c r="B70" s="152"/>
      <c r="C70" s="152" t="str">
        <f>IF(H63=C169,"Tarif - wurde gewählt!","Angaben zur Überschusseinspeisung")</f>
        <v>Angaben zur Überschusseinspeisung</v>
      </c>
      <c r="D70" s="146"/>
      <c r="E70" s="146"/>
      <c r="F70" s="146"/>
      <c r="G70" s="146"/>
      <c r="H70" s="168"/>
      <c r="I70" s="420"/>
      <c r="J70" s="421"/>
      <c r="L70" s="113"/>
      <c r="M70" s="113"/>
      <c r="N70" s="112"/>
      <c r="O70" s="112"/>
      <c r="P70" s="112"/>
      <c r="Q70" s="112"/>
      <c r="R70" s="112"/>
      <c r="S70" s="112"/>
      <c r="T70" s="122"/>
      <c r="U70" s="122"/>
      <c r="V70" s="122"/>
      <c r="W70" s="122"/>
      <c r="X70" s="122"/>
      <c r="Y70" s="122"/>
      <c r="Z70" s="122"/>
      <c r="AA70" s="122"/>
      <c r="AB70" s="122"/>
      <c r="AC70" s="122"/>
      <c r="AD70" s="122"/>
      <c r="AE70" s="122"/>
      <c r="AF70" s="122"/>
      <c r="AG70" s="122"/>
      <c r="AH70" s="103"/>
    </row>
    <row r="71" spans="2:34" x14ac:dyDescent="0.2">
      <c r="B71" s="171"/>
      <c r="C71" s="171" t="s">
        <v>2712</v>
      </c>
      <c r="D71" s="142"/>
      <c r="E71" s="142"/>
      <c r="F71" s="142"/>
      <c r="G71" s="494" t="s">
        <v>2711</v>
      </c>
      <c r="H71" s="494"/>
      <c r="I71" s="494"/>
      <c r="J71" s="421"/>
      <c r="L71" s="112"/>
      <c r="M71" s="112"/>
      <c r="N71" s="112"/>
      <c r="O71" s="112"/>
      <c r="P71" s="112"/>
      <c r="Q71" s="112"/>
      <c r="R71" s="112"/>
      <c r="S71" s="112"/>
      <c r="T71" s="122"/>
      <c r="W71" s="322"/>
      <c r="X71" s="128"/>
      <c r="Y71" s="324"/>
      <c r="Z71" s="122"/>
      <c r="AA71" s="122"/>
      <c r="AB71" s="122"/>
      <c r="AC71" s="122"/>
      <c r="AD71" s="122"/>
      <c r="AE71" s="122"/>
      <c r="AF71" s="122"/>
      <c r="AG71" s="122"/>
      <c r="AH71" s="103"/>
    </row>
    <row r="72" spans="2:34" ht="5.25" customHeight="1" x14ac:dyDescent="0.2">
      <c r="B72" s="146"/>
      <c r="C72" s="146"/>
      <c r="D72" s="146"/>
      <c r="E72" s="146"/>
      <c r="F72" s="146"/>
      <c r="G72" s="146"/>
      <c r="H72" s="146"/>
      <c r="I72" s="146"/>
      <c r="J72" s="146"/>
      <c r="L72" s="113"/>
      <c r="M72" s="113"/>
      <c r="N72" s="112"/>
      <c r="O72" s="112"/>
      <c r="P72" s="112"/>
      <c r="Q72" s="112"/>
      <c r="R72" s="112"/>
      <c r="S72" s="112"/>
      <c r="T72" s="122"/>
      <c r="U72" s="122"/>
      <c r="V72" s="122"/>
      <c r="W72" s="122"/>
      <c r="X72" s="122"/>
      <c r="Y72" s="122"/>
      <c r="Z72" s="122"/>
      <c r="AA72" s="122"/>
      <c r="AB72" s="122"/>
      <c r="AC72" s="122"/>
      <c r="AD72" s="122"/>
      <c r="AE72" s="122"/>
      <c r="AF72" s="122"/>
      <c r="AG72" s="122"/>
      <c r="AH72" s="103"/>
    </row>
    <row r="73" spans="2:34" x14ac:dyDescent="0.2">
      <c r="B73" s="142"/>
      <c r="C73" s="168"/>
      <c r="D73" s="142"/>
      <c r="E73" s="142"/>
      <c r="F73" s="142"/>
      <c r="G73" s="142" t="s">
        <v>1655</v>
      </c>
      <c r="H73" s="195">
        <v>30</v>
      </c>
      <c r="I73" s="146"/>
      <c r="J73" s="330"/>
      <c r="L73" s="113"/>
      <c r="M73" s="113"/>
      <c r="N73" s="112"/>
      <c r="O73" s="112"/>
      <c r="P73" s="112"/>
      <c r="Q73" s="112"/>
      <c r="R73" s="112"/>
      <c r="S73" s="112"/>
      <c r="T73" s="122"/>
      <c r="U73" s="122"/>
      <c r="V73" s="122"/>
      <c r="W73" s="322"/>
      <c r="X73" s="323"/>
      <c r="Y73" s="122"/>
      <c r="Z73" s="122"/>
      <c r="AA73" s="122"/>
      <c r="AB73" s="122"/>
      <c r="AC73" s="122"/>
      <c r="AD73" s="122"/>
      <c r="AE73" s="122"/>
      <c r="AF73" s="122"/>
      <c r="AG73" s="122"/>
      <c r="AH73" s="103"/>
    </row>
    <row r="74" spans="2:34" x14ac:dyDescent="0.2">
      <c r="B74" s="146"/>
      <c r="C74" s="168"/>
      <c r="D74" s="146"/>
      <c r="E74" s="146"/>
      <c r="F74" s="146"/>
      <c r="G74" s="142" t="s">
        <v>1656</v>
      </c>
      <c r="H74" s="169">
        <f>100-$H$73</f>
        <v>70</v>
      </c>
      <c r="I74" s="146" t="s">
        <v>90</v>
      </c>
      <c r="J74" s="321"/>
      <c r="L74" s="113"/>
      <c r="M74" s="113"/>
      <c r="N74" s="112"/>
      <c r="O74" s="112"/>
      <c r="P74" s="112"/>
      <c r="Q74" s="112"/>
      <c r="R74" s="112"/>
      <c r="S74" s="112"/>
      <c r="T74" s="122"/>
      <c r="U74" s="122"/>
      <c r="V74" s="122"/>
      <c r="W74" s="322"/>
      <c r="X74" s="128"/>
      <c r="Y74" s="122"/>
      <c r="Z74" s="122"/>
      <c r="AA74" s="122"/>
      <c r="AB74" s="122"/>
      <c r="AC74" s="122"/>
      <c r="AD74" s="122"/>
      <c r="AE74" s="122"/>
      <c r="AF74" s="122"/>
      <c r="AG74" s="122"/>
      <c r="AH74" s="103"/>
    </row>
    <row r="75" spans="2:34" ht="5.25" customHeight="1" x14ac:dyDescent="0.2">
      <c r="B75" s="146"/>
      <c r="C75" s="146"/>
      <c r="D75" s="146"/>
      <c r="E75" s="146"/>
      <c r="F75" s="146"/>
      <c r="G75" s="142"/>
      <c r="H75" s="170" t="str">
        <f>IF(H73&gt;100,"Vorsicht! Fehler in der %-Angabe!","")</f>
        <v/>
      </c>
      <c r="I75" s="171"/>
      <c r="J75" s="142"/>
      <c r="L75" s="113"/>
      <c r="M75" s="113"/>
      <c r="N75" s="112"/>
      <c r="O75" s="112"/>
      <c r="P75" s="112"/>
      <c r="Q75" s="112"/>
      <c r="R75" s="112"/>
      <c r="S75" s="112"/>
      <c r="T75" s="122"/>
      <c r="U75" s="122"/>
      <c r="V75" s="122"/>
      <c r="W75" s="122"/>
      <c r="X75" s="122"/>
      <c r="Y75" s="122"/>
      <c r="Z75" s="122"/>
      <c r="AA75" s="122"/>
      <c r="AB75" s="122"/>
      <c r="AC75" s="122"/>
      <c r="AD75" s="122"/>
      <c r="AE75" s="122"/>
      <c r="AF75" s="122"/>
      <c r="AG75" s="122"/>
      <c r="AH75" s="103"/>
    </row>
    <row r="76" spans="2:34" x14ac:dyDescent="0.2">
      <c r="B76" s="142"/>
      <c r="C76" s="142"/>
      <c r="D76" s="142"/>
      <c r="E76" s="142"/>
      <c r="F76" s="142"/>
      <c r="G76" s="142" t="str">
        <f>IF(AND(H63="Fördertarif",H66="Überschusseinspeisung"),"Prognose Strompreis:","Strompreis der aktuell bezogen wird:")</f>
        <v>Strompreis der aktuell bezogen wird:</v>
      </c>
      <c r="H76" s="172">
        <f>IF(AND(H63="Fördertarif",H66="Überschusseinspeisung"),Berechnungen!Q24,H103)</f>
        <v>0.25</v>
      </c>
      <c r="I76" s="146" t="s">
        <v>1624</v>
      </c>
      <c r="J76" s="172"/>
      <c r="L76" s="113"/>
      <c r="M76" s="113"/>
      <c r="N76" s="112"/>
      <c r="O76" s="112"/>
      <c r="P76" s="112"/>
      <c r="Q76" s="112"/>
      <c r="R76" s="112"/>
      <c r="S76" s="112"/>
      <c r="T76" s="122"/>
      <c r="U76" s="122"/>
      <c r="V76" s="122"/>
      <c r="W76" s="116">
        <f>IF(W77&gt;0,1,0)</f>
        <v>0</v>
      </c>
      <c r="X76" s="122"/>
      <c r="Y76" s="122"/>
      <c r="Z76" s="122"/>
      <c r="AA76" s="122"/>
      <c r="AB76" s="122"/>
      <c r="AC76" s="122"/>
      <c r="AD76" s="122"/>
      <c r="AE76" s="122"/>
      <c r="AF76" s="122"/>
      <c r="AG76" s="122"/>
      <c r="AH76" s="103"/>
    </row>
    <row r="77" spans="2:34" ht="13.7" customHeight="1" x14ac:dyDescent="0.2">
      <c r="B77" s="171"/>
      <c r="C77" s="171"/>
      <c r="D77" s="171"/>
      <c r="E77" s="171"/>
      <c r="F77" s="171"/>
      <c r="G77" s="142" t="str">
        <f>IF(AND(H63="Fördertarif",H66="Überschusseinspeisung"),"Prognose Vergütung bei Überschusseinspeisung:","Vergütung bei Überschusseinspeisung:")</f>
        <v>Vergütung bei Überschusseinspeisung:</v>
      </c>
      <c r="H77" s="172">
        <f>IF(AND(H63="Fördertarif",H66="Überschusseinspeisung"),Berechnungen!P24,H104)</f>
        <v>0.09</v>
      </c>
      <c r="I77" s="146" t="s">
        <v>1624</v>
      </c>
      <c r="J77" s="142"/>
      <c r="L77" s="113"/>
      <c r="M77" s="113"/>
      <c r="N77" s="112"/>
      <c r="O77" s="112"/>
      <c r="P77" s="112"/>
      <c r="Q77" s="112"/>
      <c r="R77" s="112"/>
      <c r="S77" s="112"/>
      <c r="T77" s="122"/>
      <c r="U77" s="122"/>
      <c r="V77" s="122"/>
      <c r="W77" s="116">
        <f>(IF(Eingabe!H112*Eingabe!H73/100&gt;25000,IF((Eingabe!H112*Eingabe!H73/100-25000)*0.015&lt;=50,0,(Eingabe!H112*Eingabe!H73/100-25000)*0.015),0))</f>
        <v>0</v>
      </c>
      <c r="X77" s="122"/>
      <c r="Y77" s="122"/>
      <c r="Z77" s="122"/>
      <c r="AA77" s="122"/>
      <c r="AB77" s="122"/>
      <c r="AC77" s="122"/>
      <c r="AD77" s="122"/>
      <c r="AE77" s="122"/>
      <c r="AF77" s="122"/>
      <c r="AG77" s="122"/>
      <c r="AH77" s="103"/>
    </row>
    <row r="78" spans="2:34" ht="5.25" customHeight="1" x14ac:dyDescent="0.2">
      <c r="B78" s="171"/>
      <c r="C78" s="171"/>
      <c r="D78" s="146"/>
      <c r="E78" s="171"/>
      <c r="F78" s="171"/>
      <c r="G78" s="146"/>
      <c r="H78" s="142"/>
      <c r="I78" s="142"/>
      <c r="J78" s="142"/>
      <c r="L78" s="113"/>
      <c r="M78" s="113"/>
      <c r="N78" s="112"/>
      <c r="O78" s="112"/>
      <c r="P78" s="112"/>
      <c r="Q78" s="112"/>
      <c r="R78" s="112"/>
      <c r="S78" s="112"/>
      <c r="T78" s="122"/>
      <c r="U78" s="122"/>
      <c r="V78" s="122"/>
      <c r="W78" s="122"/>
      <c r="X78" s="122"/>
      <c r="Y78" s="122"/>
      <c r="Z78" s="122"/>
      <c r="AA78" s="122"/>
      <c r="AB78" s="122"/>
      <c r="AC78" s="122"/>
      <c r="AD78" s="122"/>
      <c r="AE78" s="122"/>
      <c r="AF78" s="122"/>
      <c r="AG78" s="122"/>
      <c r="AH78" s="103"/>
    </row>
    <row r="79" spans="2:34" ht="12.2" customHeight="1" x14ac:dyDescent="0.2">
      <c r="B79" s="171"/>
      <c r="C79" s="171"/>
      <c r="D79" s="171"/>
      <c r="E79" s="171"/>
      <c r="F79" s="173"/>
      <c r="G79" s="174" t="s">
        <v>1657</v>
      </c>
      <c r="H79" s="325">
        <f>H76*H73/100+H77*H74/100</f>
        <v>0.13800000000000001</v>
      </c>
      <c r="I79" s="152" t="s">
        <v>1624</v>
      </c>
      <c r="J79" s="142"/>
      <c r="L79" s="112"/>
      <c r="M79" s="112"/>
      <c r="N79" s="112"/>
      <c r="O79" s="112"/>
      <c r="P79" s="112"/>
      <c r="Q79" s="112"/>
      <c r="R79" s="112"/>
      <c r="S79" s="112"/>
      <c r="T79" s="122"/>
      <c r="U79" s="122"/>
      <c r="V79" s="122"/>
      <c r="W79" s="122"/>
      <c r="X79" s="122"/>
      <c r="Y79" s="122"/>
      <c r="Z79" s="122"/>
      <c r="AA79" s="122"/>
      <c r="AB79" s="122"/>
      <c r="AC79" s="122"/>
      <c r="AD79" s="122"/>
      <c r="AE79" s="122"/>
      <c r="AF79" s="122"/>
      <c r="AG79" s="122"/>
      <c r="AH79" s="103"/>
    </row>
    <row r="80" spans="2:34" ht="5.25" customHeight="1" x14ac:dyDescent="0.2">
      <c r="B80" s="146"/>
      <c r="C80" s="146"/>
      <c r="D80" s="146"/>
      <c r="E80" s="146"/>
      <c r="F80" s="146"/>
      <c r="G80" s="146"/>
      <c r="H80" s="146"/>
      <c r="I80" s="146"/>
      <c r="J80" s="146"/>
      <c r="L80" s="113"/>
      <c r="M80" s="113"/>
      <c r="N80" s="113"/>
      <c r="O80" s="113"/>
      <c r="P80" s="113"/>
      <c r="Q80" s="113"/>
      <c r="R80" s="112"/>
      <c r="S80" s="112"/>
      <c r="T80" s="122"/>
      <c r="U80" s="122"/>
      <c r="V80" s="122"/>
      <c r="W80" s="122"/>
      <c r="X80" s="122"/>
      <c r="Y80" s="122"/>
      <c r="Z80" s="122"/>
      <c r="AA80" s="122"/>
      <c r="AB80" s="122"/>
      <c r="AC80" s="122"/>
      <c r="AD80" s="122"/>
      <c r="AE80" s="122"/>
      <c r="AF80" s="122"/>
      <c r="AG80" s="122"/>
      <c r="AH80" s="103"/>
    </row>
    <row r="81" spans="2:34" ht="7.5" customHeight="1" x14ac:dyDescent="0.2">
      <c r="K81" s="7"/>
      <c r="L81" s="113"/>
      <c r="M81" s="113"/>
      <c r="N81" s="112"/>
      <c r="O81" s="112"/>
      <c r="P81" s="112"/>
      <c r="Q81" s="112"/>
      <c r="R81" s="112"/>
      <c r="S81" s="112"/>
      <c r="T81" s="122"/>
      <c r="U81" s="122"/>
      <c r="V81" s="122"/>
      <c r="W81" s="122"/>
      <c r="X81" s="122"/>
      <c r="Y81" s="122"/>
      <c r="Z81" s="122"/>
      <c r="AA81" s="122"/>
      <c r="AB81" s="122"/>
      <c r="AC81" s="122"/>
      <c r="AD81" s="122"/>
      <c r="AE81" s="122"/>
      <c r="AF81" s="122"/>
      <c r="AG81" s="122"/>
      <c r="AH81" s="103"/>
    </row>
    <row r="82" spans="2:34" ht="18" x14ac:dyDescent="0.25">
      <c r="B82" s="332"/>
      <c r="C82" s="332" t="s">
        <v>780</v>
      </c>
      <c r="D82" s="333"/>
      <c r="E82" s="333"/>
      <c r="F82" s="333"/>
      <c r="G82" s="333"/>
      <c r="H82" s="334"/>
      <c r="I82" s="334"/>
      <c r="J82" s="334"/>
      <c r="L82" s="112"/>
      <c r="M82" s="112"/>
      <c r="N82" s="112"/>
      <c r="O82" s="112"/>
      <c r="P82" s="112"/>
      <c r="Q82" s="112"/>
      <c r="R82" s="112"/>
      <c r="S82" s="112"/>
      <c r="T82" s="122"/>
      <c r="U82" s="122"/>
      <c r="V82" s="122"/>
      <c r="W82" s="122"/>
      <c r="X82" s="122"/>
      <c r="Y82" s="122"/>
      <c r="Z82" s="122"/>
      <c r="AA82" s="122"/>
      <c r="AB82" s="122"/>
      <c r="AC82" s="122"/>
      <c r="AD82" s="122"/>
      <c r="AE82" s="122"/>
      <c r="AF82" s="122"/>
      <c r="AG82" s="122"/>
      <c r="AH82" s="103"/>
    </row>
    <row r="83" spans="2:34" ht="5.25" customHeight="1" x14ac:dyDescent="0.2">
      <c r="B83" s="146"/>
      <c r="C83" s="146"/>
      <c r="D83" s="146"/>
      <c r="E83" s="146"/>
      <c r="F83" s="146"/>
      <c r="G83" s="146"/>
      <c r="H83" s="146"/>
      <c r="I83" s="146"/>
      <c r="J83" s="146"/>
      <c r="L83" s="113"/>
      <c r="M83" s="113"/>
      <c r="N83" s="112"/>
      <c r="O83" s="112"/>
      <c r="P83" s="112"/>
      <c r="Q83" s="112"/>
      <c r="R83" s="112"/>
      <c r="S83" s="112"/>
      <c r="T83" s="122"/>
      <c r="U83" s="122"/>
      <c r="V83" s="122"/>
      <c r="W83" s="122"/>
      <c r="X83" s="122"/>
      <c r="Y83" s="122"/>
      <c r="Z83" s="122"/>
      <c r="AA83" s="122"/>
      <c r="AB83" s="122"/>
      <c r="AC83" s="122"/>
      <c r="AD83" s="122"/>
      <c r="AE83" s="122"/>
      <c r="AF83" s="122"/>
      <c r="AG83" s="122"/>
      <c r="AH83" s="103"/>
    </row>
    <row r="84" spans="2:34" x14ac:dyDescent="0.2">
      <c r="B84" s="151"/>
      <c r="C84" s="151" t="str">
        <f>IF(H63=C171,"Investitionskosten (inkl. MwSt.)","Investitionskosten")</f>
        <v>Investitionskosten (inkl. MwSt.)</v>
      </c>
      <c r="D84" s="141"/>
      <c r="E84" s="146"/>
      <c r="F84" s="146"/>
      <c r="G84" s="146"/>
      <c r="H84" s="146"/>
      <c r="I84" s="146"/>
      <c r="J84" s="168"/>
      <c r="L84" s="112"/>
      <c r="M84" s="112"/>
      <c r="N84" s="112"/>
      <c r="O84" s="112"/>
      <c r="P84" s="112"/>
      <c r="Q84" s="112"/>
      <c r="R84" s="112"/>
      <c r="S84" s="112"/>
      <c r="T84" s="122"/>
      <c r="U84" s="122"/>
      <c r="V84" s="122"/>
      <c r="W84" s="122"/>
      <c r="X84" s="122"/>
      <c r="Y84" s="122"/>
      <c r="Z84" s="122"/>
      <c r="AA84" s="122"/>
      <c r="AB84" s="122"/>
      <c r="AC84" s="122"/>
      <c r="AD84" s="122"/>
      <c r="AE84" s="122"/>
      <c r="AF84" s="122"/>
      <c r="AG84" s="122"/>
      <c r="AH84" s="103"/>
    </row>
    <row r="85" spans="2:34" ht="4.7" customHeight="1" x14ac:dyDescent="0.2">
      <c r="B85" s="146"/>
      <c r="C85" s="146"/>
      <c r="D85" s="146"/>
      <c r="E85" s="146"/>
      <c r="F85" s="146"/>
      <c r="G85" s="146"/>
      <c r="H85" s="146"/>
      <c r="I85" s="146"/>
      <c r="J85" s="146"/>
      <c r="L85" s="113"/>
      <c r="M85" s="113"/>
      <c r="N85" s="112"/>
      <c r="O85" s="112"/>
      <c r="P85" s="112"/>
      <c r="Q85" s="112"/>
      <c r="R85" s="112"/>
      <c r="S85" s="112"/>
      <c r="T85" s="122"/>
      <c r="U85" s="122"/>
      <c r="V85" s="122"/>
      <c r="W85" s="122"/>
      <c r="X85" s="122"/>
      <c r="Y85" s="122"/>
      <c r="Z85" s="122"/>
      <c r="AA85" s="122"/>
      <c r="AB85" s="122"/>
      <c r="AC85" s="122"/>
      <c r="AD85" s="122"/>
      <c r="AE85" s="122"/>
      <c r="AF85" s="122"/>
      <c r="AG85" s="122"/>
      <c r="AH85" s="103"/>
    </row>
    <row r="86" spans="2:34" x14ac:dyDescent="0.2">
      <c r="B86" s="151"/>
      <c r="C86" s="151"/>
      <c r="D86" s="141"/>
      <c r="E86" s="141"/>
      <c r="F86" s="141"/>
      <c r="G86" s="141" t="s">
        <v>1551</v>
      </c>
      <c r="H86" s="191">
        <v>1750</v>
      </c>
      <c r="I86" s="144" t="s">
        <v>1975</v>
      </c>
      <c r="J86" s="168"/>
      <c r="L86" s="112"/>
      <c r="M86" s="112"/>
      <c r="N86" s="112"/>
      <c r="O86" s="112"/>
      <c r="P86" s="112"/>
      <c r="Q86" s="112"/>
      <c r="R86" s="112"/>
      <c r="S86" s="112"/>
      <c r="T86" s="122"/>
      <c r="U86" s="122"/>
      <c r="V86" s="122"/>
      <c r="W86" s="122"/>
      <c r="X86" s="122"/>
      <c r="Y86" s="122"/>
      <c r="Z86" s="122"/>
      <c r="AA86" s="122"/>
      <c r="AB86" s="122"/>
      <c r="AC86" s="122"/>
      <c r="AD86" s="122"/>
      <c r="AE86" s="122"/>
      <c r="AF86" s="122"/>
      <c r="AG86" s="122"/>
      <c r="AH86" s="103"/>
    </row>
    <row r="87" spans="2:34" x14ac:dyDescent="0.2">
      <c r="B87" s="146"/>
      <c r="C87" s="146"/>
      <c r="D87" s="146"/>
      <c r="E87" s="146"/>
      <c r="F87" s="146"/>
      <c r="G87" s="142" t="str">
        <f>IF(H87&lt;100%,"Eigenkapitalquote / Zinsen Fremdkapital:","Eigenkapitalquote:")</f>
        <v>Eigenkapitalquote:</v>
      </c>
      <c r="H87" s="290">
        <v>1</v>
      </c>
      <c r="I87" s="296">
        <v>0.03</v>
      </c>
      <c r="J87" s="244"/>
      <c r="L87" s="113"/>
      <c r="M87" s="113"/>
      <c r="N87" s="112"/>
      <c r="O87" s="112"/>
      <c r="P87" s="112"/>
      <c r="Q87" s="112"/>
      <c r="R87" s="112"/>
      <c r="S87" s="112"/>
      <c r="T87" s="122"/>
      <c r="U87" s="122"/>
      <c r="V87" s="122"/>
      <c r="W87" s="122"/>
      <c r="X87" s="122"/>
      <c r="Y87" s="122"/>
      <c r="Z87" s="122"/>
      <c r="AA87" s="122"/>
      <c r="AB87" s="122"/>
      <c r="AC87" s="122"/>
      <c r="AD87" s="122"/>
      <c r="AE87" s="122"/>
      <c r="AF87" s="122"/>
      <c r="AG87" s="122"/>
      <c r="AH87" s="103"/>
    </row>
    <row r="88" spans="2:34" x14ac:dyDescent="0.2">
      <c r="B88" s="146"/>
      <c r="C88" s="146"/>
      <c r="D88" s="146"/>
      <c r="E88" s="146"/>
      <c r="F88" s="146"/>
      <c r="G88" s="142" t="str">
        <f>IF(H87&lt;100%,"Kreditlaufzeit / Tilgungsfreie Jahre:","")</f>
        <v/>
      </c>
      <c r="H88" s="297">
        <v>10</v>
      </c>
      <c r="I88" s="297">
        <v>2</v>
      </c>
      <c r="J88" s="291">
        <f>I88+1</f>
        <v>3</v>
      </c>
      <c r="L88" s="113"/>
      <c r="M88" s="113"/>
      <c r="N88" s="112"/>
      <c r="O88" s="112"/>
      <c r="P88" s="112"/>
      <c r="Q88" s="112"/>
      <c r="R88" s="112"/>
      <c r="S88" s="112"/>
      <c r="T88" s="122"/>
      <c r="U88" s="122"/>
      <c r="V88" s="122"/>
      <c r="W88" s="122"/>
      <c r="X88" s="122"/>
      <c r="Y88" s="122"/>
      <c r="Z88" s="122"/>
      <c r="AA88" s="122"/>
      <c r="AB88" s="122"/>
      <c r="AC88" s="122"/>
      <c r="AD88" s="122"/>
      <c r="AE88" s="122"/>
      <c r="AF88" s="122"/>
      <c r="AG88" s="122"/>
      <c r="AH88" s="103"/>
    </row>
    <row r="89" spans="2:34" x14ac:dyDescent="0.2">
      <c r="B89" s="141"/>
      <c r="C89" s="141"/>
      <c r="D89" s="141"/>
      <c r="E89" s="141"/>
      <c r="F89" s="141"/>
      <c r="G89" s="141" t="s">
        <v>2650</v>
      </c>
      <c r="H89" s="157">
        <f>H86*H37</f>
        <v>26250</v>
      </c>
      <c r="I89" s="144" t="s">
        <v>1622</v>
      </c>
      <c r="J89" s="291">
        <f>H88-I88</f>
        <v>8</v>
      </c>
      <c r="L89" s="113"/>
      <c r="M89" s="113"/>
      <c r="N89" s="112"/>
      <c r="O89" s="112"/>
      <c r="P89" s="112"/>
      <c r="Q89" s="112"/>
      <c r="R89" s="112"/>
      <c r="S89" s="112"/>
      <c r="T89" s="122"/>
      <c r="U89" s="122"/>
      <c r="V89" s="122"/>
      <c r="W89" s="122"/>
      <c r="X89" s="122"/>
      <c r="Y89" s="122"/>
      <c r="Z89" s="122"/>
      <c r="AA89" s="122"/>
      <c r="AB89" s="122"/>
      <c r="AC89" s="122"/>
      <c r="AD89" s="122"/>
      <c r="AE89" s="122"/>
      <c r="AF89" s="122"/>
      <c r="AG89" s="122"/>
      <c r="AH89" s="103"/>
    </row>
    <row r="90" spans="2:34" x14ac:dyDescent="0.2">
      <c r="B90" s="141"/>
      <c r="C90" s="141"/>
      <c r="D90" s="141"/>
      <c r="E90" s="141"/>
      <c r="F90" s="141"/>
      <c r="G90" s="156" t="str">
        <f>IF(AND(F218=0,OR(G218&lt;&gt;0,H218&lt;&gt;0)),"- Investitionsförderung Bund:",IF(AND(F218&lt;&gt;0,G218=0),"- Investitionsförderung Land:","- Investförderung des Landes &amp; Bundes:"))</f>
        <v>- Investitionsförderung Bund:</v>
      </c>
      <c r="H90" s="158">
        <f>IF(AND(H63=C172,E66=C204),R183,$I$218)</f>
        <v>5250</v>
      </c>
      <c r="I90" s="144" t="s">
        <v>1622</v>
      </c>
      <c r="J90" s="146"/>
      <c r="L90" s="113"/>
      <c r="M90" s="113"/>
      <c r="N90" s="112"/>
      <c r="O90" s="112"/>
      <c r="P90" s="112"/>
      <c r="Q90" s="112"/>
      <c r="R90" s="112"/>
      <c r="S90" s="112"/>
      <c r="T90" s="122"/>
      <c r="U90" s="122"/>
      <c r="V90" s="122"/>
      <c r="W90" s="122"/>
      <c r="X90" s="122"/>
      <c r="Y90" s="122"/>
      <c r="Z90" s="122"/>
      <c r="AA90" s="122"/>
      <c r="AB90" s="122"/>
      <c r="AC90" s="122"/>
      <c r="AD90" s="122"/>
      <c r="AE90" s="122"/>
      <c r="AF90" s="122"/>
      <c r="AG90" s="122"/>
      <c r="AH90" s="103"/>
    </row>
    <row r="91" spans="2:34" x14ac:dyDescent="0.2">
      <c r="B91" s="141"/>
      <c r="C91" s="141"/>
      <c r="D91" s="141"/>
      <c r="E91" s="141"/>
      <c r="F91" s="141"/>
      <c r="G91" s="156" t="str">
        <f>IF(G90="- Investitionsförderung Bund:","Sonstige Förderung:","- sonstige Förderung (z.B.: Gemeinde):")</f>
        <v>Sonstige Förderung:</v>
      </c>
      <c r="H91" s="191"/>
      <c r="I91" s="144" t="s">
        <v>1622</v>
      </c>
      <c r="J91" s="298" t="s">
        <v>2652</v>
      </c>
      <c r="L91" s="231"/>
      <c r="M91" s="231"/>
      <c r="N91" s="266"/>
      <c r="O91" s="266"/>
      <c r="P91" s="266"/>
      <c r="Q91" s="266"/>
      <c r="R91" s="266"/>
      <c r="S91" s="266"/>
      <c r="T91" s="122"/>
      <c r="U91" s="122"/>
      <c r="V91" s="122"/>
      <c r="W91" s="122"/>
      <c r="X91" s="122"/>
      <c r="Y91" s="122"/>
      <c r="Z91" s="122"/>
      <c r="AA91" s="122"/>
      <c r="AB91" s="122"/>
      <c r="AC91" s="122"/>
      <c r="AD91" s="122"/>
      <c r="AE91" s="122"/>
      <c r="AF91" s="122"/>
      <c r="AG91" s="122"/>
      <c r="AH91" s="103"/>
    </row>
    <row r="92" spans="2:34" ht="18" x14ac:dyDescent="0.25">
      <c r="B92" s="141"/>
      <c r="C92" s="141"/>
      <c r="D92" s="141"/>
      <c r="E92" s="141"/>
      <c r="F92" s="141"/>
      <c r="G92" s="159" t="s">
        <v>1552</v>
      </c>
      <c r="H92" s="160">
        <f>H89-(H90+H91)</f>
        <v>21000</v>
      </c>
      <c r="I92" s="144" t="s">
        <v>1622</v>
      </c>
      <c r="J92" s="298">
        <f>H87*H92</f>
        <v>21000</v>
      </c>
      <c r="L92" s="332"/>
      <c r="M92" s="332" t="s">
        <v>2597</v>
      </c>
      <c r="N92" s="335"/>
      <c r="O92" s="333"/>
      <c r="P92" s="333"/>
      <c r="Q92" s="333"/>
      <c r="R92" s="334"/>
      <c r="S92" s="334"/>
      <c r="T92" s="124"/>
      <c r="U92" s="122"/>
      <c r="V92" s="122"/>
      <c r="W92" s="122"/>
      <c r="X92" s="122"/>
      <c r="Y92" s="122"/>
      <c r="Z92" s="122"/>
      <c r="AA92" s="122"/>
      <c r="AB92" s="122"/>
      <c r="AC92" s="122"/>
      <c r="AD92" s="122"/>
      <c r="AE92" s="122"/>
      <c r="AF92" s="122"/>
      <c r="AG92" s="122"/>
      <c r="AH92" s="103"/>
    </row>
    <row r="93" spans="2:34" ht="5.25" customHeight="1" x14ac:dyDescent="0.2">
      <c r="B93" s="141"/>
      <c r="C93" s="141"/>
      <c r="D93" s="141"/>
      <c r="E93" s="141"/>
      <c r="F93" s="141"/>
      <c r="G93" s="156"/>
      <c r="H93" s="154"/>
      <c r="I93" s="144"/>
      <c r="J93" s="146"/>
      <c r="L93" s="292"/>
      <c r="M93" s="292"/>
      <c r="N93" s="293"/>
      <c r="O93" s="293"/>
      <c r="P93" s="293"/>
      <c r="Q93" s="293"/>
      <c r="R93" s="293"/>
      <c r="S93" s="293"/>
      <c r="T93" s="124"/>
      <c r="U93" s="124"/>
      <c r="V93" s="124"/>
      <c r="W93" s="124"/>
      <c r="X93" s="124"/>
      <c r="Y93" s="124"/>
      <c r="Z93" s="124"/>
      <c r="AA93" s="124"/>
      <c r="AB93" s="124"/>
      <c r="AC93" s="124"/>
      <c r="AD93" s="124"/>
      <c r="AE93" s="124"/>
      <c r="AF93" s="124"/>
      <c r="AG93" s="124"/>
    </row>
    <row r="94" spans="2:34" x14ac:dyDescent="0.2">
      <c r="B94" s="225"/>
      <c r="C94" s="225" t="str">
        <f>IF(H63=C171,"Laufende Kosten (inkl. MwSt.)","Laufende Kosten")</f>
        <v>Laufende Kosten (inkl. MwSt.)</v>
      </c>
      <c r="D94" s="192"/>
      <c r="E94" s="192"/>
      <c r="F94" s="192"/>
      <c r="G94" s="192"/>
      <c r="H94" s="192"/>
      <c r="I94" s="193"/>
      <c r="J94" s="216"/>
      <c r="L94" s="293"/>
      <c r="M94" s="292"/>
      <c r="N94" s="293"/>
      <c r="O94" s="293"/>
      <c r="P94" s="293"/>
      <c r="Q94" s="293"/>
      <c r="R94" s="293"/>
      <c r="S94" s="293"/>
      <c r="U94" s="124"/>
      <c r="V94" s="124"/>
      <c r="W94" s="124"/>
      <c r="X94" s="124"/>
      <c r="Y94" s="124"/>
      <c r="Z94" s="124"/>
      <c r="AA94" s="124"/>
      <c r="AB94" s="124"/>
      <c r="AC94" s="124"/>
      <c r="AD94" s="124"/>
      <c r="AE94" s="124"/>
      <c r="AF94" s="124"/>
      <c r="AG94" s="124"/>
    </row>
    <row r="95" spans="2:34" ht="13.9" customHeight="1" x14ac:dyDescent="0.2">
      <c r="B95" s="141"/>
      <c r="C95" s="141"/>
      <c r="D95" s="141"/>
      <c r="E95" s="141"/>
      <c r="F95" s="141" t="s">
        <v>2656</v>
      </c>
      <c r="G95" s="227" t="s">
        <v>2631</v>
      </c>
      <c r="H95" s="226">
        <v>3500</v>
      </c>
      <c r="I95" s="144" t="s">
        <v>2630</v>
      </c>
      <c r="J95" s="146"/>
      <c r="L95" s="113"/>
      <c r="M95" s="113"/>
      <c r="N95" s="112"/>
      <c r="O95" s="112"/>
      <c r="P95" s="112"/>
      <c r="Q95" s="112"/>
      <c r="R95" s="112"/>
      <c r="S95" s="112"/>
      <c r="T95" s="124"/>
      <c r="U95" s="124"/>
      <c r="V95" s="124"/>
      <c r="W95" s="124"/>
      <c r="X95" s="124"/>
      <c r="Y95" s="124"/>
      <c r="Z95" s="124"/>
      <c r="AA95" s="124"/>
      <c r="AB95" s="124"/>
      <c r="AC95" s="124"/>
      <c r="AD95" s="124"/>
      <c r="AE95" s="124"/>
      <c r="AF95" s="124"/>
      <c r="AG95" s="124"/>
    </row>
    <row r="96" spans="2:34" x14ac:dyDescent="0.2">
      <c r="B96" s="141"/>
      <c r="C96" s="141"/>
      <c r="D96" s="141"/>
      <c r="E96" s="141"/>
      <c r="F96" s="141"/>
      <c r="G96" s="141" t="s">
        <v>2735</v>
      </c>
      <c r="H96" s="431">
        <v>0</v>
      </c>
      <c r="I96" s="144" t="s">
        <v>2734</v>
      </c>
      <c r="J96" s="146"/>
      <c r="L96" s="113"/>
      <c r="M96" s="113"/>
      <c r="N96" s="112"/>
      <c r="O96" s="112"/>
      <c r="P96" s="112"/>
      <c r="Q96" s="112"/>
      <c r="R96" s="112"/>
      <c r="S96" s="112"/>
      <c r="T96" s="124"/>
      <c r="U96" s="124"/>
      <c r="V96" s="124"/>
      <c r="W96" s="124"/>
      <c r="X96" s="124"/>
      <c r="Y96" s="124"/>
      <c r="Z96" s="124"/>
      <c r="AA96" s="124"/>
      <c r="AB96" s="124"/>
      <c r="AC96" s="124"/>
      <c r="AD96" s="124"/>
      <c r="AE96" s="124"/>
      <c r="AF96" s="124"/>
      <c r="AG96" s="124"/>
    </row>
    <row r="97" spans="2:33" x14ac:dyDescent="0.2">
      <c r="B97" s="141"/>
      <c r="C97" s="141"/>
      <c r="D97" s="141"/>
      <c r="E97" s="141"/>
      <c r="F97" s="141"/>
      <c r="G97" s="141" t="s">
        <v>1659</v>
      </c>
      <c r="H97" s="185">
        <v>0.4</v>
      </c>
      <c r="I97" s="144" t="s">
        <v>90</v>
      </c>
      <c r="J97" s="146"/>
      <c r="L97" s="113"/>
      <c r="M97" s="113"/>
      <c r="N97" s="112"/>
      <c r="O97" s="112"/>
      <c r="P97" s="112"/>
      <c r="Q97" s="112"/>
      <c r="R97" s="112"/>
      <c r="S97" s="112"/>
      <c r="T97" s="124"/>
      <c r="U97" s="124"/>
      <c r="V97" s="124"/>
      <c r="W97" s="124"/>
      <c r="X97" s="124"/>
      <c r="Y97" s="124"/>
      <c r="Z97" s="124"/>
      <c r="AA97" s="124"/>
      <c r="AB97" s="124"/>
      <c r="AC97" s="124"/>
      <c r="AD97" s="124"/>
      <c r="AE97" s="124"/>
      <c r="AF97" s="124"/>
      <c r="AG97" s="124"/>
    </row>
    <row r="98" spans="2:33" x14ac:dyDescent="0.2">
      <c r="B98" s="141"/>
      <c r="C98" s="141"/>
      <c r="D98" s="141"/>
      <c r="E98" s="141"/>
      <c r="F98" s="141"/>
      <c r="G98" s="141" t="s">
        <v>2210</v>
      </c>
      <c r="H98" s="185">
        <v>0.5</v>
      </c>
      <c r="I98" s="144" t="s">
        <v>90</v>
      </c>
      <c r="J98" s="146"/>
      <c r="L98" s="113"/>
      <c r="M98" s="113"/>
      <c r="N98" s="112"/>
      <c r="O98" s="112"/>
      <c r="P98" s="112"/>
      <c r="Q98" s="112"/>
      <c r="R98" s="112"/>
      <c r="S98" s="112"/>
      <c r="T98" s="124"/>
      <c r="U98" s="124"/>
      <c r="V98" s="124"/>
      <c r="W98" s="124"/>
      <c r="X98" s="124"/>
      <c r="Y98" s="124"/>
      <c r="Z98" s="124"/>
      <c r="AA98" s="124"/>
      <c r="AB98" s="124"/>
      <c r="AC98" s="124"/>
      <c r="AD98" s="124"/>
      <c r="AE98" s="124"/>
      <c r="AF98" s="124"/>
      <c r="AG98" s="124"/>
    </row>
    <row r="99" spans="2:33" ht="5.25" customHeight="1" x14ac:dyDescent="0.2">
      <c r="B99" s="187"/>
      <c r="C99" s="187"/>
      <c r="D99" s="187"/>
      <c r="E99" s="187"/>
      <c r="F99" s="187"/>
      <c r="G99" s="188"/>
      <c r="H99" s="189"/>
      <c r="I99" s="190"/>
      <c r="J99" s="194"/>
      <c r="L99" s="113"/>
      <c r="M99" s="113"/>
      <c r="N99" s="112"/>
      <c r="O99" s="112"/>
      <c r="P99" s="112"/>
      <c r="Q99" s="112"/>
      <c r="R99" s="112"/>
      <c r="S99" s="112"/>
      <c r="T99" s="124"/>
      <c r="U99" s="124"/>
      <c r="V99" s="124"/>
      <c r="W99" s="124"/>
      <c r="X99" s="124"/>
      <c r="Y99" s="124"/>
      <c r="Z99" s="124"/>
      <c r="AA99" s="124"/>
      <c r="AB99" s="124"/>
      <c r="AC99" s="124"/>
      <c r="AD99" s="124"/>
      <c r="AE99" s="124"/>
      <c r="AF99" s="124"/>
      <c r="AG99" s="124"/>
    </row>
    <row r="100" spans="2:33" x14ac:dyDescent="0.2">
      <c r="B100" s="151"/>
      <c r="C100" s="151" t="s">
        <v>2211</v>
      </c>
      <c r="D100" s="141"/>
      <c r="E100" s="141"/>
      <c r="F100" s="141"/>
      <c r="G100" s="141"/>
      <c r="H100" s="154"/>
      <c r="I100" s="144"/>
      <c r="J100" s="146"/>
      <c r="L100" s="113"/>
      <c r="M100" s="113"/>
      <c r="N100" s="112"/>
      <c r="O100" s="112"/>
      <c r="P100" s="112"/>
      <c r="Q100" s="112"/>
      <c r="R100" s="112"/>
      <c r="S100" s="112"/>
      <c r="T100" s="124"/>
      <c r="U100" s="124"/>
      <c r="V100" s="124"/>
      <c r="W100" s="124"/>
      <c r="X100" s="124"/>
      <c r="Y100" s="124"/>
      <c r="Z100" s="124"/>
      <c r="AA100" s="124"/>
      <c r="AB100" s="124"/>
      <c r="AC100" s="124"/>
      <c r="AD100" s="124"/>
      <c r="AE100" s="124"/>
      <c r="AF100" s="124"/>
      <c r="AG100" s="124"/>
    </row>
    <row r="101" spans="2:33" ht="4.7" customHeight="1" x14ac:dyDescent="0.2">
      <c r="B101" s="141"/>
      <c r="C101" s="141"/>
      <c r="D101" s="141"/>
      <c r="E101" s="155"/>
      <c r="F101" s="141"/>
      <c r="G101" s="156"/>
      <c r="H101" s="154"/>
      <c r="I101" s="144"/>
      <c r="J101" s="146"/>
      <c r="L101" s="113"/>
      <c r="M101" s="113"/>
      <c r="N101" s="112"/>
      <c r="O101" s="112"/>
      <c r="P101" s="112"/>
      <c r="Q101" s="112"/>
      <c r="R101" s="112"/>
      <c r="S101" s="112"/>
      <c r="T101" s="124"/>
      <c r="U101" s="124"/>
      <c r="V101" s="124"/>
      <c r="W101" s="124"/>
      <c r="X101" s="124"/>
      <c r="Y101" s="124"/>
      <c r="Z101" s="124"/>
      <c r="AA101" s="124"/>
      <c r="AB101" s="124"/>
      <c r="AC101" s="124"/>
      <c r="AD101" s="124"/>
      <c r="AE101" s="124"/>
      <c r="AF101" s="124"/>
      <c r="AG101" s="124"/>
    </row>
    <row r="102" spans="2:33" x14ac:dyDescent="0.2">
      <c r="B102" s="141"/>
      <c r="C102" s="141"/>
      <c r="D102" s="141"/>
      <c r="E102" s="141"/>
      <c r="F102" s="141"/>
      <c r="G102" s="141" t="s">
        <v>787</v>
      </c>
      <c r="H102" s="210">
        <v>4</v>
      </c>
      <c r="I102" s="144" t="s">
        <v>90</v>
      </c>
      <c r="J102" s="146"/>
      <c r="L102" s="113"/>
      <c r="M102" s="113"/>
      <c r="N102" s="112"/>
      <c r="O102" s="112"/>
      <c r="P102" s="112"/>
      <c r="Q102" s="112"/>
      <c r="R102" s="112"/>
      <c r="S102" s="112"/>
      <c r="T102" s="124"/>
      <c r="U102" s="124"/>
      <c r="V102" s="124"/>
      <c r="W102" s="124"/>
      <c r="X102" s="124"/>
      <c r="Y102" s="124"/>
      <c r="Z102" s="124"/>
      <c r="AA102" s="124"/>
      <c r="AB102" s="124"/>
      <c r="AC102" s="124"/>
      <c r="AD102" s="124"/>
      <c r="AE102" s="124"/>
      <c r="AF102" s="124"/>
      <c r="AG102" s="124"/>
    </row>
    <row r="103" spans="2:33" x14ac:dyDescent="0.2">
      <c r="B103" s="141"/>
      <c r="C103" s="141"/>
      <c r="D103" s="141"/>
      <c r="E103" s="141"/>
      <c r="F103" s="141"/>
      <c r="G103" s="141" t="s">
        <v>2653</v>
      </c>
      <c r="H103" s="184">
        <v>0.25</v>
      </c>
      <c r="I103" s="144" t="s">
        <v>1624</v>
      </c>
      <c r="J103" s="146"/>
      <c r="L103" s="113"/>
      <c r="M103" s="113"/>
      <c r="N103" s="112"/>
      <c r="O103" s="112"/>
      <c r="P103" s="112"/>
      <c r="Q103" s="112"/>
      <c r="R103" s="112"/>
      <c r="S103" s="112"/>
      <c r="T103" s="124"/>
      <c r="U103" s="124"/>
      <c r="V103" s="124"/>
      <c r="W103" s="124"/>
      <c r="X103" s="124"/>
      <c r="Y103" s="124"/>
      <c r="Z103" s="124"/>
      <c r="AA103" s="124"/>
      <c r="AB103" s="124"/>
      <c r="AC103" s="124"/>
      <c r="AD103" s="124"/>
      <c r="AE103" s="124"/>
      <c r="AF103" s="124"/>
      <c r="AG103" s="124"/>
    </row>
    <row r="104" spans="2:33" x14ac:dyDescent="0.2">
      <c r="B104" s="141"/>
      <c r="C104" s="141"/>
      <c r="D104" s="141"/>
      <c r="E104" s="141"/>
      <c r="F104" s="141"/>
      <c r="G104" s="141" t="s">
        <v>160</v>
      </c>
      <c r="H104" s="184">
        <v>0.09</v>
      </c>
      <c r="I104" s="144" t="s">
        <v>1624</v>
      </c>
      <c r="J104" s="146"/>
      <c r="L104" s="113"/>
      <c r="M104" s="113"/>
      <c r="N104" s="112"/>
      <c r="O104" s="112"/>
      <c r="P104" s="112"/>
      <c r="Q104" s="112"/>
      <c r="R104" s="112"/>
      <c r="S104" s="112"/>
      <c r="T104" s="124"/>
      <c r="U104" s="124"/>
      <c r="V104" s="124"/>
      <c r="W104" s="124"/>
      <c r="X104" s="124"/>
      <c r="Y104" s="124"/>
      <c r="Z104" s="124"/>
      <c r="AA104" s="124"/>
      <c r="AB104" s="124"/>
      <c r="AC104" s="124"/>
      <c r="AD104" s="124"/>
      <c r="AE104" s="124"/>
      <c r="AF104" s="124"/>
      <c r="AG104" s="124"/>
    </row>
    <row r="105" spans="2:33" x14ac:dyDescent="0.2">
      <c r="B105" s="141"/>
      <c r="C105" s="141"/>
      <c r="D105" s="141"/>
      <c r="E105" s="141"/>
      <c r="F105" s="141"/>
      <c r="G105" s="141" t="s">
        <v>788</v>
      </c>
      <c r="H105" s="210">
        <v>2</v>
      </c>
      <c r="I105" s="144" t="s">
        <v>90</v>
      </c>
      <c r="J105" s="146"/>
      <c r="L105" s="113"/>
      <c r="M105" s="113"/>
      <c r="N105" s="112"/>
      <c r="O105" s="112"/>
      <c r="P105" s="112"/>
      <c r="Q105" s="112"/>
      <c r="R105" s="112"/>
      <c r="S105" s="112"/>
      <c r="T105" s="124"/>
      <c r="U105" s="124"/>
      <c r="V105" s="124"/>
      <c r="W105" s="124"/>
      <c r="X105" s="124"/>
      <c r="Y105" s="124"/>
      <c r="Z105" s="124"/>
      <c r="AA105" s="124"/>
      <c r="AB105" s="124"/>
      <c r="AC105" s="124"/>
      <c r="AD105" s="124"/>
      <c r="AE105" s="124"/>
      <c r="AF105" s="124"/>
      <c r="AG105" s="124"/>
    </row>
    <row r="106" spans="2:33" x14ac:dyDescent="0.2">
      <c r="B106" s="141"/>
      <c r="C106" s="141"/>
      <c r="D106" s="141"/>
      <c r="E106" s="141"/>
      <c r="F106" s="141"/>
      <c r="G106" s="141" t="s">
        <v>161</v>
      </c>
      <c r="H106" s="210">
        <v>4</v>
      </c>
      <c r="I106" s="144" t="s">
        <v>90</v>
      </c>
      <c r="J106" s="146"/>
      <c r="K106" s="4"/>
      <c r="L106" s="113"/>
      <c r="M106" s="113"/>
      <c r="N106" s="112"/>
      <c r="O106" s="112"/>
      <c r="P106" s="112"/>
      <c r="Q106" s="112"/>
      <c r="R106" s="112"/>
      <c r="S106" s="112"/>
      <c r="T106" s="124"/>
      <c r="U106" s="124"/>
      <c r="V106" s="124"/>
      <c r="W106" s="124"/>
      <c r="X106" s="124"/>
      <c r="Y106" s="124"/>
      <c r="Z106" s="124"/>
      <c r="AA106" s="124"/>
      <c r="AB106" s="124"/>
      <c r="AC106" s="124"/>
      <c r="AD106" s="124"/>
      <c r="AE106" s="124"/>
      <c r="AF106" s="124"/>
      <c r="AG106" s="124"/>
    </row>
    <row r="107" spans="2:33" x14ac:dyDescent="0.2">
      <c r="B107" s="154"/>
      <c r="C107" s="154"/>
      <c r="D107" s="154"/>
      <c r="E107" s="154"/>
      <c r="F107" s="154"/>
      <c r="G107" s="154"/>
      <c r="H107" s="214"/>
      <c r="I107" s="214"/>
      <c r="J107" s="144"/>
      <c r="K107" s="7"/>
      <c r="L107" s="113"/>
      <c r="M107" s="113"/>
      <c r="N107" s="113"/>
      <c r="O107" s="113"/>
      <c r="P107" s="113"/>
      <c r="Q107" s="113"/>
      <c r="R107" s="112"/>
      <c r="S107" s="112"/>
      <c r="T107" s="124"/>
      <c r="U107" s="124"/>
      <c r="V107" s="124"/>
      <c r="W107" s="124"/>
      <c r="X107" s="124"/>
      <c r="Y107" s="124"/>
      <c r="Z107" s="124"/>
      <c r="AA107" s="124"/>
      <c r="AB107" s="124"/>
      <c r="AC107" s="124"/>
      <c r="AD107" s="124"/>
      <c r="AE107" s="124"/>
      <c r="AF107" s="124"/>
      <c r="AG107" s="124"/>
    </row>
    <row r="108" spans="2:33" ht="7.5" customHeight="1" x14ac:dyDescent="0.2">
      <c r="K108" s="7"/>
      <c r="L108" s="113"/>
      <c r="M108" s="113"/>
      <c r="N108" s="113"/>
      <c r="O108" s="113"/>
      <c r="P108" s="113"/>
      <c r="Q108" s="113"/>
      <c r="R108" s="112"/>
      <c r="S108" s="112"/>
      <c r="T108" s="124"/>
      <c r="U108" s="124"/>
      <c r="V108" s="124"/>
      <c r="W108" s="124"/>
      <c r="X108" s="124"/>
      <c r="Y108" s="124"/>
      <c r="Z108" s="124"/>
      <c r="AA108" s="124"/>
      <c r="AB108" s="124"/>
      <c r="AC108" s="124"/>
      <c r="AD108" s="124"/>
      <c r="AE108" s="124"/>
      <c r="AF108" s="124"/>
      <c r="AG108" s="124"/>
    </row>
    <row r="109" spans="2:33" ht="18" x14ac:dyDescent="0.25">
      <c r="B109" s="332"/>
      <c r="C109" s="332" t="s">
        <v>859</v>
      </c>
      <c r="D109" s="333"/>
      <c r="E109" s="333"/>
      <c r="F109" s="333"/>
      <c r="G109" s="333"/>
      <c r="H109" s="334"/>
      <c r="I109" s="334"/>
      <c r="J109" s="334"/>
      <c r="L109" s="113"/>
      <c r="M109" s="113"/>
      <c r="N109" s="112"/>
      <c r="O109" s="112"/>
      <c r="P109" s="112"/>
      <c r="Q109" s="112"/>
      <c r="R109" s="112"/>
      <c r="S109" s="112"/>
      <c r="T109" s="124"/>
      <c r="U109" s="124"/>
      <c r="V109" s="124"/>
      <c r="W109" s="124"/>
      <c r="X109" s="124"/>
      <c r="Y109" s="124"/>
      <c r="Z109" s="124"/>
      <c r="AA109" s="124"/>
      <c r="AB109" s="124"/>
      <c r="AC109" s="124"/>
      <c r="AD109" s="124"/>
      <c r="AE109" s="124"/>
      <c r="AF109" s="124"/>
      <c r="AG109" s="124"/>
    </row>
    <row r="110" spans="2:33" ht="5.25" customHeight="1" x14ac:dyDescent="0.25">
      <c r="B110" s="222"/>
      <c r="C110" s="222"/>
      <c r="D110" s="222"/>
      <c r="E110" s="222"/>
      <c r="F110" s="222"/>
      <c r="G110" s="222"/>
      <c r="H110" s="223"/>
      <c r="I110" s="223"/>
      <c r="J110" s="224"/>
      <c r="L110" s="113"/>
      <c r="M110" s="113"/>
      <c r="N110" s="112"/>
      <c r="O110" s="112"/>
      <c r="P110" s="112"/>
      <c r="Q110" s="112"/>
      <c r="R110" s="112"/>
      <c r="S110" s="112"/>
      <c r="T110" s="124"/>
      <c r="U110" s="124"/>
      <c r="V110" s="124"/>
      <c r="W110" s="124"/>
      <c r="X110" s="124"/>
      <c r="Y110" s="124"/>
      <c r="Z110" s="124"/>
      <c r="AA110" s="124"/>
      <c r="AB110" s="124"/>
      <c r="AC110" s="124"/>
      <c r="AD110" s="124"/>
      <c r="AE110" s="124"/>
      <c r="AF110" s="124"/>
      <c r="AG110" s="124"/>
    </row>
    <row r="111" spans="2:33" x14ac:dyDescent="0.2">
      <c r="B111" s="151"/>
      <c r="C111" s="151" t="s">
        <v>2607</v>
      </c>
      <c r="D111" s="8"/>
      <c r="E111" s="8"/>
      <c r="F111" s="8"/>
      <c r="G111" s="141" t="s">
        <v>99</v>
      </c>
      <c r="H111" s="143">
        <f>H16*(H38/H37)*(H40/100)</f>
        <v>1048.1477647058828</v>
      </c>
      <c r="I111" s="144" t="s">
        <v>1980</v>
      </c>
      <c r="J111" s="10"/>
      <c r="L111" s="113"/>
      <c r="M111" s="113"/>
      <c r="N111" s="112"/>
      <c r="O111" s="112"/>
      <c r="P111" s="112"/>
      <c r="Q111" s="112"/>
      <c r="R111" s="112"/>
      <c r="S111" s="112"/>
      <c r="T111" s="124"/>
      <c r="U111" s="124"/>
      <c r="V111" s="124"/>
      <c r="W111" s="124"/>
      <c r="X111" s="124"/>
      <c r="Y111" s="124"/>
      <c r="Z111" s="124"/>
      <c r="AA111" s="124"/>
      <c r="AB111" s="124"/>
      <c r="AC111" s="124"/>
      <c r="AD111" s="124"/>
      <c r="AE111" s="124"/>
      <c r="AF111" s="124"/>
      <c r="AG111" s="124"/>
    </row>
    <row r="112" spans="2:33" x14ac:dyDescent="0.2">
      <c r="B112" s="8"/>
      <c r="C112" s="8"/>
      <c r="D112" s="8"/>
      <c r="E112" s="8"/>
      <c r="F112" s="8"/>
      <c r="G112" s="141" t="s">
        <v>2648</v>
      </c>
      <c r="H112" s="182">
        <f>H111*H37</f>
        <v>15722.216470588242</v>
      </c>
      <c r="I112" s="144" t="s">
        <v>1979</v>
      </c>
      <c r="J112" s="10"/>
      <c r="L112" s="113"/>
      <c r="M112" s="113"/>
      <c r="N112" s="112"/>
      <c r="O112" s="112"/>
      <c r="P112" s="112"/>
      <c r="Q112" s="112"/>
      <c r="R112" s="112"/>
      <c r="S112" s="112"/>
      <c r="T112" s="124"/>
      <c r="U112" s="124"/>
      <c r="V112" s="124"/>
      <c r="W112" s="124"/>
      <c r="X112" s="124"/>
      <c r="Y112" s="124"/>
      <c r="Z112" s="124"/>
      <c r="AA112" s="124"/>
      <c r="AB112" s="124"/>
      <c r="AC112" s="124"/>
      <c r="AD112" s="124"/>
      <c r="AE112" s="124"/>
      <c r="AF112" s="124"/>
      <c r="AG112" s="124"/>
    </row>
    <row r="113" spans="2:44" x14ac:dyDescent="0.2">
      <c r="B113" s="8"/>
      <c r="C113" s="8"/>
      <c r="D113" s="8"/>
      <c r="E113" s="8"/>
      <c r="F113" s="8"/>
      <c r="G113" s="142" t="s">
        <v>790</v>
      </c>
      <c r="H113" s="145">
        <f>Berechnungen!D37</f>
        <v>370460.48340612289</v>
      </c>
      <c r="I113" s="146" t="s">
        <v>88</v>
      </c>
      <c r="J113" s="10"/>
      <c r="L113" s="113"/>
      <c r="M113" s="113"/>
      <c r="N113" s="112"/>
      <c r="O113" s="112"/>
      <c r="P113" s="112"/>
      <c r="Q113" s="112"/>
      <c r="R113" s="112"/>
      <c r="S113" s="112"/>
      <c r="T113" s="124"/>
      <c r="U113" s="124"/>
      <c r="V113" s="124"/>
      <c r="W113" s="124"/>
      <c r="X113" s="124"/>
      <c r="Y113" s="124"/>
      <c r="Z113" s="124"/>
      <c r="AA113" s="124"/>
      <c r="AB113" s="124"/>
      <c r="AC113" s="124"/>
      <c r="AD113" s="124"/>
      <c r="AE113" s="124"/>
      <c r="AF113" s="124"/>
      <c r="AG113" s="124"/>
    </row>
    <row r="114" spans="2:44" ht="5.25" customHeight="1" x14ac:dyDescent="0.2">
      <c r="B114" s="8"/>
      <c r="C114" s="8"/>
      <c r="D114" s="8"/>
      <c r="E114" s="8"/>
      <c r="F114" s="8"/>
      <c r="G114" s="8"/>
      <c r="H114" s="240"/>
      <c r="I114" s="241"/>
      <c r="J114" s="10"/>
      <c r="L114" s="113"/>
      <c r="M114" s="113"/>
      <c r="N114" s="112"/>
      <c r="O114" s="112"/>
      <c r="P114" s="112"/>
      <c r="Q114" s="112"/>
      <c r="R114" s="112"/>
      <c r="S114" s="112"/>
      <c r="T114" s="124"/>
      <c r="U114" s="124"/>
      <c r="V114" s="124"/>
      <c r="W114" s="124"/>
      <c r="X114" s="124"/>
      <c r="Y114" s="124"/>
      <c r="Z114" s="124"/>
      <c r="AA114" s="124"/>
      <c r="AB114" s="124"/>
      <c r="AC114" s="124"/>
      <c r="AD114" s="124"/>
      <c r="AE114" s="124"/>
      <c r="AF114" s="124"/>
      <c r="AG114" s="124"/>
    </row>
    <row r="115" spans="2:44" ht="5.25" customHeight="1" x14ac:dyDescent="0.2">
      <c r="B115" s="176"/>
      <c r="C115" s="176"/>
      <c r="D115" s="176"/>
      <c r="E115" s="176"/>
      <c r="F115" s="176"/>
      <c r="G115" s="176"/>
      <c r="H115" s="177"/>
      <c r="I115" s="178"/>
      <c r="J115" s="219"/>
      <c r="L115" s="113"/>
      <c r="M115" s="113"/>
      <c r="N115" s="112"/>
      <c r="O115" s="112"/>
      <c r="P115" s="112"/>
      <c r="Q115" s="112"/>
      <c r="R115" s="112"/>
      <c r="S115" s="112"/>
      <c r="T115" s="124"/>
      <c r="U115" s="124"/>
      <c r="V115" s="124"/>
      <c r="W115" s="124"/>
      <c r="X115" s="124"/>
      <c r="Y115" s="124"/>
      <c r="Z115" s="124"/>
      <c r="AA115" s="124"/>
      <c r="AB115" s="124"/>
      <c r="AC115" s="124"/>
      <c r="AD115" s="124"/>
      <c r="AE115" s="124"/>
      <c r="AF115" s="124"/>
      <c r="AG115" s="124"/>
    </row>
    <row r="116" spans="2:44" x14ac:dyDescent="0.2">
      <c r="B116" s="152"/>
      <c r="C116" s="152" t="s">
        <v>2608</v>
      </c>
      <c r="D116" s="10"/>
      <c r="E116" s="10"/>
      <c r="F116" s="86"/>
      <c r="G116" s="142" t="s">
        <v>1552</v>
      </c>
      <c r="H116" s="145">
        <f>H92</f>
        <v>21000</v>
      </c>
      <c r="I116" s="146" t="s">
        <v>1622</v>
      </c>
      <c r="J116" s="220"/>
      <c r="L116" s="113"/>
      <c r="M116" s="113"/>
      <c r="N116" s="112"/>
      <c r="O116" s="112"/>
      <c r="P116" s="112"/>
      <c r="Q116" s="112"/>
      <c r="R116" s="112"/>
      <c r="S116" s="112"/>
      <c r="T116" s="124"/>
      <c r="U116" s="124"/>
      <c r="V116" s="124"/>
      <c r="W116" s="124"/>
      <c r="X116" s="124"/>
      <c r="Y116" s="124"/>
      <c r="Z116" s="124"/>
      <c r="AA116" s="124"/>
      <c r="AB116" s="124"/>
      <c r="AC116" s="124"/>
      <c r="AD116" s="124"/>
      <c r="AE116" s="124"/>
      <c r="AF116" s="124"/>
      <c r="AG116" s="124"/>
    </row>
    <row r="117" spans="2:44" x14ac:dyDescent="0.2">
      <c r="B117" s="10"/>
      <c r="C117" s="10"/>
      <c r="D117" s="10"/>
      <c r="E117" s="10"/>
      <c r="F117" s="86"/>
      <c r="G117" s="142" t="s">
        <v>36</v>
      </c>
      <c r="H117" s="145">
        <f>Berechnungen!$L$40</f>
        <v>13893.657957757045</v>
      </c>
      <c r="I117" s="145" t="s">
        <v>1622</v>
      </c>
      <c r="J117" s="220"/>
      <c r="L117" s="113"/>
      <c r="M117" s="113"/>
      <c r="N117" s="112"/>
      <c r="O117" s="112"/>
      <c r="P117" s="112"/>
      <c r="Q117" s="112"/>
      <c r="R117" s="112"/>
      <c r="S117" s="112"/>
      <c r="T117" s="124"/>
      <c r="U117" s="124"/>
      <c r="V117" s="124"/>
      <c r="W117" s="124"/>
      <c r="X117" s="124"/>
      <c r="Y117" s="124"/>
      <c r="Z117" s="124"/>
      <c r="AA117" s="124"/>
      <c r="AB117" s="124"/>
      <c r="AC117" s="124"/>
      <c r="AD117" s="124"/>
      <c r="AE117" s="124"/>
      <c r="AF117" s="124"/>
      <c r="AG117" s="124"/>
    </row>
    <row r="118" spans="2:44" x14ac:dyDescent="0.2">
      <c r="B118" s="11"/>
      <c r="C118" s="11"/>
      <c r="D118" s="11"/>
      <c r="E118" s="11"/>
      <c r="F118" s="86"/>
      <c r="G118" s="142" t="s">
        <v>2366</v>
      </c>
      <c r="H118" s="147">
        <f>Berechnungen!M37</f>
        <v>14</v>
      </c>
      <c r="I118" s="145" t="s">
        <v>2367</v>
      </c>
      <c r="J118" s="220"/>
      <c r="L118" s="113"/>
      <c r="M118" s="113"/>
      <c r="N118" s="112"/>
      <c r="O118" s="112"/>
      <c r="P118" s="112"/>
      <c r="Q118" s="112"/>
      <c r="R118" s="112"/>
      <c r="S118" s="112"/>
      <c r="T118" s="124"/>
      <c r="U118" s="124"/>
      <c r="V118" s="124"/>
      <c r="W118" s="124"/>
      <c r="X118" s="124"/>
      <c r="Y118" s="124"/>
      <c r="Z118" s="124"/>
      <c r="AA118" s="124"/>
      <c r="AB118" s="124"/>
      <c r="AC118" s="124"/>
      <c r="AD118" s="124"/>
      <c r="AE118" s="124"/>
      <c r="AF118" s="124"/>
      <c r="AG118" s="124"/>
    </row>
    <row r="119" spans="2:44" ht="5.25" customHeight="1" x14ac:dyDescent="0.2">
      <c r="B119" s="179"/>
      <c r="C119" s="179"/>
      <c r="D119" s="179"/>
      <c r="E119" s="179"/>
      <c r="F119" s="179"/>
      <c r="G119" s="180"/>
      <c r="H119" s="181"/>
      <c r="I119" s="181"/>
      <c r="J119" s="175"/>
      <c r="L119" s="113"/>
      <c r="M119" s="113"/>
      <c r="N119" s="112"/>
      <c r="O119" s="112"/>
      <c r="P119" s="112"/>
      <c r="Q119" s="112"/>
      <c r="R119" s="112"/>
      <c r="S119" s="112"/>
    </row>
    <row r="120" spans="2:44" ht="5.25" customHeight="1" x14ac:dyDescent="0.2">
      <c r="B120" s="11"/>
      <c r="C120" s="11"/>
      <c r="D120" s="11"/>
      <c r="E120" s="11"/>
      <c r="F120" s="11"/>
      <c r="G120" s="12"/>
      <c r="H120" s="145"/>
      <c r="I120" s="145"/>
      <c r="J120" s="220"/>
      <c r="L120" s="113"/>
      <c r="M120" s="113"/>
      <c r="N120" s="112"/>
      <c r="O120" s="112"/>
      <c r="P120" s="112"/>
      <c r="Q120" s="112"/>
      <c r="R120" s="112"/>
      <c r="S120" s="112"/>
    </row>
    <row r="121" spans="2:44" ht="14.25" x14ac:dyDescent="0.25">
      <c r="B121" s="152"/>
      <c r="C121" s="152" t="s">
        <v>2645</v>
      </c>
      <c r="D121" s="10"/>
      <c r="E121" s="10"/>
      <c r="F121" s="10"/>
      <c r="G121" s="142" t="s">
        <v>2646</v>
      </c>
      <c r="H121" s="148">
        <f>ROUND(H113*0.45,0)</f>
        <v>166707</v>
      </c>
      <c r="I121" s="146" t="s">
        <v>2647</v>
      </c>
      <c r="J121" s="220"/>
      <c r="L121" s="113"/>
      <c r="M121" s="113"/>
      <c r="N121" s="112"/>
      <c r="O121" s="112"/>
      <c r="P121" s="112"/>
      <c r="Q121" s="112"/>
      <c r="R121" s="112"/>
      <c r="S121" s="112"/>
    </row>
    <row r="122" spans="2:44" ht="5.25" customHeight="1" x14ac:dyDescent="0.2">
      <c r="B122" s="220"/>
      <c r="C122" s="220"/>
      <c r="D122" s="220"/>
      <c r="E122" s="220"/>
      <c r="F122" s="220"/>
      <c r="G122" s="10"/>
      <c r="H122" s="221"/>
      <c r="I122" s="220"/>
      <c r="J122" s="220"/>
      <c r="L122" s="113"/>
      <c r="M122" s="113"/>
      <c r="N122" s="112"/>
      <c r="O122" s="112"/>
      <c r="P122" s="112"/>
      <c r="Q122" s="112"/>
      <c r="R122" s="112"/>
      <c r="S122" s="112"/>
    </row>
    <row r="123" spans="2:44" x14ac:dyDescent="0.2">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5" x14ac:dyDescent="0.25">
      <c r="C124" s="409" t="s">
        <v>2325</v>
      </c>
      <c r="D124" s="410"/>
      <c r="E124" s="410"/>
      <c r="F124" s="410"/>
      <c r="G124" s="410"/>
      <c r="H124" s="411"/>
      <c r="I124" s="410"/>
      <c r="J124" s="410"/>
      <c r="K124" s="410"/>
      <c r="L124" s="410"/>
      <c r="M124" s="411"/>
      <c r="N124" s="410"/>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x14ac:dyDescent="0.2">
      <c r="C125" s="497" t="s">
        <v>2649</v>
      </c>
      <c r="D125" s="498"/>
      <c r="E125" s="498"/>
      <c r="F125" s="498"/>
      <c r="G125" s="498"/>
      <c r="H125" s="498"/>
      <c r="I125" s="498"/>
      <c r="J125" s="498"/>
      <c r="K125" s="498"/>
      <c r="L125" s="498"/>
      <c r="M125" s="498"/>
      <c r="N125" s="498"/>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4499999999999993" customHeight="1" x14ac:dyDescent="0.2">
      <c r="C126" s="496"/>
      <c r="D126" s="496"/>
      <c r="E126" s="496"/>
      <c r="F126" s="496"/>
      <c r="G126" s="496"/>
      <c r="H126" s="496"/>
      <c r="I126" s="496"/>
      <c r="J126" s="496"/>
      <c r="K126" s="496"/>
      <c r="L126" s="496"/>
      <c r="M126" s="496"/>
      <c r="N126" s="496"/>
      <c r="O126" s="496"/>
      <c r="P126" s="496"/>
      <c r="Q126" s="496"/>
      <c r="R126" s="496"/>
      <c r="S126" s="496"/>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x14ac:dyDescent="0.2">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x14ac:dyDescent="0.2">
      <c r="B128" s="103"/>
      <c r="C128" s="499"/>
      <c r="D128" s="500"/>
      <c r="E128" s="500"/>
      <c r="F128" s="500"/>
      <c r="G128" s="500"/>
      <c r="H128" s="500"/>
      <c r="I128" s="500"/>
      <c r="J128" s="500"/>
      <c r="K128" s="500"/>
      <c r="L128" s="500"/>
      <c r="M128" s="500"/>
      <c r="N128" s="500"/>
      <c r="O128" s="500"/>
      <c r="P128" s="500"/>
      <c r="Q128" s="500"/>
      <c r="R128" s="500"/>
      <c r="S128" s="500"/>
      <c r="T128" s="140"/>
      <c r="U128" s="140"/>
      <c r="V128" s="140"/>
      <c r="W128" s="140"/>
      <c r="X128" s="140"/>
      <c r="Y128" s="140"/>
      <c r="Z128" s="299"/>
      <c r="AA128" s="299"/>
      <c r="AB128" s="299"/>
      <c r="AC128" s="299"/>
      <c r="AD128" s="299"/>
      <c r="AE128" s="299"/>
      <c r="AF128" s="299"/>
      <c r="AG128" s="299"/>
      <c r="AH128" s="299"/>
      <c r="AI128" s="299"/>
      <c r="AJ128" s="299"/>
      <c r="AK128" s="299"/>
      <c r="AL128" s="299"/>
      <c r="AM128" s="299"/>
      <c r="AN128" s="299"/>
      <c r="AO128" s="299"/>
      <c r="AP128" s="299"/>
      <c r="AQ128" s="299"/>
      <c r="AR128" s="299"/>
    </row>
    <row r="129" spans="2:44" s="79" customFormat="1" ht="27" customHeight="1" x14ac:dyDescent="0.2">
      <c r="B129" s="103"/>
      <c r="C129" s="501"/>
      <c r="D129" s="502"/>
      <c r="E129" s="502"/>
      <c r="F129" s="502"/>
      <c r="G129" s="502"/>
      <c r="H129" s="502"/>
      <c r="I129" s="502"/>
      <c r="J129" s="502"/>
      <c r="K129" s="502"/>
      <c r="L129" s="502"/>
      <c r="M129" s="502"/>
      <c r="N129" s="502"/>
      <c r="O129" s="502"/>
      <c r="P129" s="502"/>
      <c r="Q129" s="502"/>
      <c r="R129" s="502"/>
      <c r="S129" s="502"/>
      <c r="T129" s="105"/>
      <c r="U129" s="105"/>
      <c r="V129" s="105"/>
      <c r="W129" s="105"/>
      <c r="X129" s="140"/>
      <c r="Y129" s="140"/>
      <c r="Z129" s="299"/>
      <c r="AA129" s="299"/>
      <c r="AB129" s="299"/>
      <c r="AC129" s="299"/>
      <c r="AD129" s="299"/>
      <c r="AE129" s="299"/>
      <c r="AF129" s="299"/>
      <c r="AG129" s="299"/>
      <c r="AH129" s="299"/>
      <c r="AI129" s="299"/>
      <c r="AJ129" s="299"/>
      <c r="AK129" s="299"/>
      <c r="AL129" s="299"/>
      <c r="AM129" s="299"/>
      <c r="AN129" s="299"/>
      <c r="AO129" s="299"/>
      <c r="AP129" s="299"/>
      <c r="AQ129" s="299"/>
      <c r="AR129" s="299"/>
    </row>
    <row r="130" spans="2:44" s="79" customFormat="1" x14ac:dyDescent="0.2">
      <c r="B130" s="103"/>
      <c r="C130" s="105"/>
      <c r="D130" s="105"/>
      <c r="E130" s="105"/>
      <c r="F130" s="105"/>
      <c r="G130" s="105"/>
      <c r="H130" s="424"/>
      <c r="I130" s="105"/>
      <c r="J130" s="105"/>
      <c r="K130" s="105"/>
      <c r="L130" s="105"/>
      <c r="M130" s="424"/>
      <c r="N130" s="105"/>
      <c r="O130" s="105"/>
      <c r="P130" s="105"/>
      <c r="Q130" s="105"/>
      <c r="R130" s="105"/>
      <c r="S130" s="105"/>
      <c r="T130" s="105"/>
      <c r="U130" s="105"/>
      <c r="V130" s="105"/>
      <c r="W130" s="105"/>
      <c r="X130" s="140"/>
      <c r="Y130" s="140"/>
      <c r="Z130" s="299"/>
      <c r="AA130" s="299"/>
      <c r="AB130" s="299"/>
      <c r="AC130" s="299"/>
      <c r="AD130" s="299"/>
      <c r="AE130" s="299"/>
      <c r="AF130" s="299"/>
      <c r="AG130" s="299"/>
      <c r="AH130" s="299"/>
      <c r="AI130" s="299"/>
      <c r="AJ130" s="299"/>
      <c r="AK130" s="299"/>
      <c r="AL130" s="299"/>
      <c r="AM130" s="299"/>
      <c r="AN130" s="299"/>
      <c r="AO130" s="299"/>
      <c r="AP130" s="299"/>
      <c r="AQ130" s="299"/>
      <c r="AR130" s="299"/>
    </row>
    <row r="131" spans="2:44" s="79" customFormat="1" x14ac:dyDescent="0.2">
      <c r="B131" s="103"/>
      <c r="C131" s="105"/>
      <c r="D131" s="105"/>
      <c r="E131" s="105"/>
      <c r="F131" s="105"/>
      <c r="G131" s="105"/>
      <c r="H131" s="424"/>
      <c r="I131" s="105"/>
      <c r="J131" s="105"/>
      <c r="K131" s="105"/>
      <c r="L131" s="105"/>
      <c r="M131" s="424"/>
      <c r="N131" s="105"/>
      <c r="O131" s="105"/>
      <c r="P131" s="105"/>
      <c r="Q131" s="105"/>
      <c r="R131" s="105"/>
      <c r="S131" s="105"/>
      <c r="T131" s="105"/>
      <c r="U131" s="105"/>
      <c r="V131" s="105"/>
      <c r="W131" s="105"/>
      <c r="X131" s="140"/>
      <c r="Y131" s="140"/>
      <c r="Z131" s="299"/>
      <c r="AA131" s="299"/>
      <c r="AB131" s="299"/>
      <c r="AC131" s="299"/>
      <c r="AD131" s="299"/>
      <c r="AE131" s="299"/>
      <c r="AF131" s="299"/>
      <c r="AG131" s="299"/>
      <c r="AH131" s="299"/>
      <c r="AI131" s="299"/>
      <c r="AJ131" s="299"/>
      <c r="AK131" s="299"/>
      <c r="AL131" s="299"/>
      <c r="AM131" s="299"/>
      <c r="AN131" s="299"/>
      <c r="AO131" s="299"/>
      <c r="AP131" s="299"/>
      <c r="AQ131" s="299"/>
      <c r="AR131" s="299"/>
    </row>
    <row r="132" spans="2:44" s="79" customFormat="1" x14ac:dyDescent="0.2">
      <c r="B132" s="103"/>
      <c r="C132" s="105"/>
      <c r="D132" s="105"/>
      <c r="E132" s="105"/>
      <c r="F132" s="105"/>
      <c r="G132" s="105"/>
      <c r="H132" s="424"/>
      <c r="I132" s="105"/>
      <c r="J132" s="105"/>
      <c r="K132" s="105"/>
      <c r="L132" s="105"/>
      <c r="M132" s="424"/>
      <c r="N132" s="105"/>
      <c r="O132" s="105"/>
      <c r="P132" s="105"/>
      <c r="Q132" s="105"/>
      <c r="R132" s="105"/>
      <c r="S132" s="105"/>
      <c r="T132" s="105"/>
      <c r="U132" s="105"/>
      <c r="V132" s="105"/>
      <c r="W132" s="105"/>
      <c r="X132" s="140"/>
      <c r="Y132" s="140"/>
      <c r="Z132" s="299"/>
      <c r="AA132" s="299"/>
      <c r="AB132" s="299"/>
      <c r="AC132" s="299"/>
      <c r="AD132" s="299"/>
      <c r="AE132" s="299"/>
      <c r="AF132" s="299"/>
      <c r="AG132" s="299"/>
      <c r="AH132" s="299"/>
      <c r="AI132" s="299"/>
      <c r="AJ132" s="299"/>
      <c r="AK132" s="299"/>
      <c r="AL132" s="299"/>
      <c r="AM132" s="299"/>
      <c r="AN132" s="299"/>
      <c r="AO132" s="299"/>
      <c r="AP132" s="299"/>
      <c r="AQ132" s="299"/>
      <c r="AR132" s="299"/>
    </row>
    <row r="133" spans="2:44" s="79" customFormat="1" x14ac:dyDescent="0.2">
      <c r="B133" s="103"/>
      <c r="C133" s="105"/>
      <c r="D133" s="105"/>
      <c r="E133" s="105"/>
      <c r="F133" s="105"/>
      <c r="G133" s="105"/>
      <c r="H133" s="424"/>
      <c r="I133" s="105"/>
      <c r="J133" s="105"/>
      <c r="K133" s="105"/>
      <c r="L133" s="105"/>
      <c r="M133" s="424"/>
      <c r="N133" s="105"/>
      <c r="O133" s="105"/>
      <c r="P133" s="105"/>
      <c r="Q133" s="105"/>
      <c r="R133" s="105"/>
      <c r="S133" s="105"/>
      <c r="T133" s="105"/>
      <c r="U133" s="105"/>
      <c r="V133" s="105"/>
      <c r="W133" s="105"/>
      <c r="X133" s="105"/>
      <c r="Y133" s="105"/>
      <c r="Z133" s="103"/>
      <c r="AA133" s="103"/>
      <c r="AB133" s="103"/>
      <c r="AC133" s="299"/>
      <c r="AD133" s="299"/>
      <c r="AE133" s="299"/>
      <c r="AF133" s="299"/>
      <c r="AG133" s="299"/>
      <c r="AH133" s="299"/>
      <c r="AI133" s="299"/>
      <c r="AJ133" s="299"/>
      <c r="AK133" s="299"/>
      <c r="AL133" s="299"/>
      <c r="AM133" s="299"/>
      <c r="AN133" s="299"/>
      <c r="AO133" s="299"/>
      <c r="AP133" s="299"/>
      <c r="AQ133" s="299"/>
      <c r="AR133" s="299"/>
    </row>
    <row r="134" spans="2:44" s="79" customFormat="1" x14ac:dyDescent="0.2">
      <c r="B134" s="103"/>
      <c r="C134" s="105"/>
      <c r="D134" s="105"/>
      <c r="E134" s="105"/>
      <c r="F134" s="105"/>
      <c r="G134" s="105"/>
      <c r="H134" s="424"/>
      <c r="I134" s="105"/>
      <c r="J134" s="105"/>
      <c r="K134" s="105"/>
      <c r="L134" s="105"/>
      <c r="M134" s="424"/>
      <c r="N134" s="105"/>
      <c r="O134" s="105"/>
      <c r="P134" s="105"/>
      <c r="Q134" s="105"/>
      <c r="R134" s="105"/>
      <c r="S134" s="105"/>
      <c r="T134" s="105"/>
      <c r="U134" s="105"/>
      <c r="V134" s="105"/>
      <c r="W134" s="105"/>
      <c r="X134" s="105"/>
      <c r="Y134" s="105"/>
      <c r="Z134" s="103"/>
      <c r="AA134" s="103"/>
      <c r="AB134" s="103"/>
      <c r="AC134" s="299"/>
      <c r="AD134" s="299"/>
      <c r="AE134" s="299"/>
      <c r="AF134" s="299"/>
      <c r="AG134" s="299"/>
      <c r="AH134" s="299"/>
      <c r="AI134" s="299"/>
      <c r="AJ134" s="299"/>
      <c r="AK134" s="299"/>
      <c r="AL134" s="299"/>
      <c r="AM134" s="299"/>
      <c r="AN134" s="299"/>
      <c r="AO134" s="299"/>
      <c r="AP134" s="299"/>
      <c r="AQ134" s="299"/>
      <c r="AR134" s="299"/>
    </row>
    <row r="135" spans="2:44" s="79" customFormat="1" x14ac:dyDescent="0.2">
      <c r="B135" s="103"/>
      <c r="C135" s="105"/>
      <c r="D135" s="105"/>
      <c r="E135" s="105"/>
      <c r="F135" s="105"/>
      <c r="G135" s="105"/>
      <c r="H135" s="424"/>
      <c r="I135" s="105"/>
      <c r="J135" s="105"/>
      <c r="K135" s="105"/>
      <c r="L135" s="105"/>
      <c r="M135" s="424"/>
      <c r="N135" s="105"/>
      <c r="O135" s="105"/>
      <c r="P135" s="105"/>
      <c r="Q135" s="105"/>
      <c r="R135" s="105"/>
      <c r="S135" s="105"/>
      <c r="T135" s="105"/>
      <c r="U135" s="105"/>
      <c r="V135" s="105"/>
      <c r="W135" s="105"/>
      <c r="X135" s="105"/>
      <c r="Y135" s="105"/>
      <c r="Z135" s="103"/>
      <c r="AA135" s="103"/>
      <c r="AB135" s="103"/>
      <c r="AC135" s="299"/>
      <c r="AD135" s="299"/>
      <c r="AE135" s="299"/>
      <c r="AF135" s="299"/>
      <c r="AG135" s="299"/>
      <c r="AH135" s="299"/>
      <c r="AI135" s="299"/>
      <c r="AJ135" s="299"/>
      <c r="AK135" s="299"/>
      <c r="AL135" s="299"/>
      <c r="AM135" s="299"/>
      <c r="AN135" s="299"/>
      <c r="AO135" s="299"/>
      <c r="AP135" s="299"/>
      <c r="AQ135" s="299"/>
      <c r="AR135" s="299"/>
    </row>
    <row r="136" spans="2:44" s="79" customFormat="1" x14ac:dyDescent="0.2">
      <c r="B136" s="103"/>
      <c r="C136" s="105"/>
      <c r="D136" s="105"/>
      <c r="E136" s="105"/>
      <c r="F136" s="105"/>
      <c r="G136" s="105"/>
      <c r="H136" s="424"/>
      <c r="I136" s="105"/>
      <c r="J136" s="105"/>
      <c r="K136" s="105"/>
      <c r="L136" s="105"/>
      <c r="M136" s="424"/>
      <c r="N136" s="105"/>
      <c r="O136" s="105"/>
      <c r="P136" s="105"/>
      <c r="Q136" s="105"/>
      <c r="R136" s="105"/>
      <c r="S136" s="105"/>
      <c r="T136" s="105"/>
      <c r="U136" s="105"/>
      <c r="V136" s="105"/>
      <c r="W136" s="105"/>
      <c r="X136" s="105"/>
      <c r="Y136" s="105"/>
      <c r="Z136" s="103"/>
      <c r="AA136" s="103"/>
      <c r="AB136" s="103"/>
      <c r="AC136" s="299"/>
      <c r="AD136" s="299"/>
      <c r="AE136" s="299"/>
      <c r="AF136" s="299"/>
      <c r="AG136" s="299"/>
      <c r="AH136" s="299"/>
      <c r="AI136" s="299"/>
      <c r="AJ136" s="299"/>
      <c r="AK136" s="299"/>
      <c r="AL136" s="299"/>
      <c r="AM136" s="299"/>
      <c r="AN136" s="299"/>
      <c r="AO136" s="299"/>
      <c r="AP136" s="299"/>
      <c r="AQ136" s="299"/>
      <c r="AR136" s="299"/>
    </row>
    <row r="137" spans="2:44" s="79" customFormat="1" x14ac:dyDescent="0.2">
      <c r="B137" s="103"/>
      <c r="C137" s="105"/>
      <c r="D137" s="105"/>
      <c r="E137" s="105"/>
      <c r="F137" s="105"/>
      <c r="G137" s="105"/>
      <c r="H137" s="424"/>
      <c r="I137" s="105"/>
      <c r="J137" s="105"/>
      <c r="K137" s="105"/>
      <c r="L137" s="105"/>
      <c r="M137" s="424"/>
      <c r="N137" s="105"/>
      <c r="O137" s="105"/>
      <c r="P137" s="105"/>
      <c r="Q137" s="105"/>
      <c r="R137" s="105"/>
      <c r="S137" s="105"/>
      <c r="T137" s="105"/>
      <c r="U137" s="105"/>
      <c r="V137" s="105"/>
      <c r="W137" s="105"/>
      <c r="X137" s="105"/>
      <c r="Y137" s="105"/>
      <c r="Z137" s="103"/>
      <c r="AA137" s="103"/>
      <c r="AB137" s="103"/>
      <c r="AC137" s="299"/>
      <c r="AD137" s="299"/>
      <c r="AE137" s="299"/>
      <c r="AF137" s="299"/>
      <c r="AG137" s="299"/>
      <c r="AH137" s="299"/>
      <c r="AI137" s="299"/>
      <c r="AJ137" s="299"/>
      <c r="AK137" s="299"/>
      <c r="AL137" s="299"/>
      <c r="AM137" s="299"/>
      <c r="AN137" s="299"/>
      <c r="AO137" s="299"/>
      <c r="AP137" s="299"/>
      <c r="AQ137" s="299"/>
      <c r="AR137" s="299"/>
    </row>
    <row r="138" spans="2:44" s="79" customFormat="1" x14ac:dyDescent="0.2">
      <c r="B138" s="103"/>
      <c r="C138" s="105"/>
      <c r="D138" s="105"/>
      <c r="E138" s="105"/>
      <c r="F138" s="105"/>
      <c r="G138" s="105"/>
      <c r="H138" s="424"/>
      <c r="I138" s="105"/>
      <c r="J138" s="105"/>
      <c r="K138" s="105"/>
      <c r="L138" s="105"/>
      <c r="M138" s="424"/>
      <c r="N138" s="105"/>
      <c r="O138" s="105"/>
      <c r="P138" s="105"/>
      <c r="Q138" s="105"/>
      <c r="R138" s="105"/>
      <c r="S138" s="105"/>
      <c r="T138" s="105"/>
      <c r="U138" s="105"/>
      <c r="V138" s="105"/>
      <c r="W138" s="105"/>
      <c r="X138" s="105"/>
      <c r="Y138" s="105"/>
      <c r="Z138" s="103"/>
      <c r="AA138" s="103"/>
      <c r="AB138" s="103"/>
      <c r="AC138" s="299"/>
      <c r="AD138" s="299"/>
      <c r="AE138" s="299"/>
      <c r="AF138" s="299"/>
      <c r="AG138" s="299"/>
      <c r="AH138" s="299"/>
      <c r="AI138" s="299"/>
      <c r="AJ138" s="299"/>
      <c r="AK138" s="299"/>
      <c r="AL138" s="299"/>
      <c r="AM138" s="299"/>
      <c r="AN138" s="299"/>
      <c r="AO138" s="299"/>
      <c r="AP138" s="299"/>
      <c r="AQ138" s="299"/>
      <c r="AR138" s="299"/>
    </row>
    <row r="139" spans="2:44" s="79" customFormat="1" x14ac:dyDescent="0.2">
      <c r="B139" s="103"/>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3"/>
      <c r="AA139" s="103"/>
      <c r="AB139" s="103"/>
      <c r="AC139" s="299"/>
      <c r="AD139" s="299"/>
      <c r="AE139" s="299"/>
      <c r="AF139" s="299"/>
      <c r="AG139" s="299"/>
      <c r="AH139" s="299"/>
      <c r="AI139" s="299"/>
      <c r="AJ139" s="299"/>
      <c r="AK139" s="299"/>
      <c r="AL139" s="299"/>
      <c r="AM139" s="299"/>
      <c r="AN139" s="299"/>
      <c r="AO139" s="299"/>
      <c r="AP139" s="299"/>
      <c r="AQ139" s="299"/>
      <c r="AR139" s="299"/>
    </row>
    <row r="140" spans="2:44" s="79" customFormat="1" x14ac:dyDescent="0.2">
      <c r="B140" s="103"/>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3"/>
      <c r="AA140" s="103"/>
      <c r="AB140" s="103"/>
      <c r="AC140" s="299"/>
      <c r="AD140" s="299"/>
      <c r="AE140" s="299"/>
      <c r="AF140" s="299"/>
      <c r="AG140" s="299"/>
      <c r="AH140" s="299"/>
      <c r="AI140" s="299"/>
      <c r="AJ140" s="299"/>
      <c r="AK140" s="299"/>
      <c r="AL140" s="299"/>
      <c r="AM140" s="299"/>
      <c r="AN140" s="299"/>
      <c r="AO140" s="299"/>
      <c r="AP140" s="299"/>
      <c r="AQ140" s="299"/>
      <c r="AR140" s="299"/>
    </row>
    <row r="141" spans="2:44" s="79" customFormat="1" x14ac:dyDescent="0.2">
      <c r="B141" s="103"/>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299"/>
      <c r="AA141" s="299"/>
      <c r="AB141" s="299"/>
      <c r="AC141" s="299"/>
      <c r="AD141" s="299"/>
      <c r="AE141" s="299"/>
      <c r="AF141" s="299"/>
      <c r="AG141" s="299"/>
      <c r="AH141" s="299"/>
      <c r="AI141" s="299"/>
      <c r="AJ141" s="299"/>
      <c r="AK141" s="299"/>
      <c r="AL141" s="299"/>
      <c r="AM141" s="299"/>
      <c r="AN141" s="299"/>
      <c r="AO141" s="299"/>
      <c r="AP141" s="299"/>
      <c r="AQ141" s="299"/>
      <c r="AR141" s="299"/>
    </row>
    <row r="142" spans="2:44" s="79" customFormat="1" x14ac:dyDescent="0.2">
      <c r="B142" s="103"/>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299"/>
      <c r="AA142" s="299"/>
      <c r="AB142" s="299"/>
      <c r="AC142" s="299"/>
      <c r="AD142" s="299"/>
      <c r="AE142" s="299"/>
      <c r="AF142" s="299"/>
      <c r="AG142" s="299"/>
      <c r="AH142" s="299"/>
      <c r="AI142" s="299"/>
      <c r="AJ142" s="299"/>
      <c r="AK142" s="299"/>
      <c r="AL142" s="299"/>
      <c r="AM142" s="299"/>
      <c r="AN142" s="299"/>
      <c r="AO142" s="299"/>
      <c r="AP142" s="299"/>
      <c r="AQ142" s="299"/>
      <c r="AR142" s="299"/>
    </row>
    <row r="143" spans="2:44" s="79" customFormat="1" x14ac:dyDescent="0.2">
      <c r="B143" s="103"/>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299"/>
      <c r="AA143" s="299"/>
      <c r="AB143" s="299"/>
      <c r="AC143" s="299"/>
      <c r="AD143" s="299"/>
      <c r="AE143" s="299"/>
      <c r="AF143" s="299"/>
      <c r="AG143" s="299"/>
      <c r="AH143" s="299"/>
      <c r="AI143" s="299"/>
      <c r="AJ143" s="299"/>
      <c r="AK143" s="299"/>
      <c r="AL143" s="299"/>
      <c r="AM143" s="299"/>
      <c r="AN143" s="299"/>
      <c r="AO143" s="299"/>
      <c r="AP143" s="299"/>
      <c r="AQ143" s="299"/>
      <c r="AR143" s="299"/>
    </row>
    <row r="144" spans="2:44" s="79" customFormat="1" x14ac:dyDescent="0.2">
      <c r="B144" s="103"/>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299"/>
      <c r="AA144" s="299"/>
      <c r="AB144" s="299"/>
      <c r="AC144" s="299"/>
      <c r="AD144" s="299"/>
      <c r="AE144" s="299"/>
      <c r="AF144" s="299"/>
      <c r="AG144" s="299"/>
      <c r="AH144" s="299"/>
      <c r="AI144" s="299"/>
      <c r="AJ144" s="299"/>
      <c r="AK144" s="299"/>
      <c r="AL144" s="299"/>
      <c r="AM144" s="299"/>
      <c r="AN144" s="299"/>
      <c r="AO144" s="299"/>
      <c r="AP144" s="299"/>
      <c r="AQ144" s="299"/>
      <c r="AR144" s="299"/>
    </row>
    <row r="145" spans="2:44" s="79" customFormat="1" x14ac:dyDescent="0.2">
      <c r="B145" s="103"/>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299"/>
      <c r="AA145" s="299"/>
      <c r="AB145" s="299"/>
      <c r="AC145" s="299"/>
      <c r="AD145" s="299"/>
      <c r="AE145" s="299"/>
      <c r="AF145" s="299"/>
      <c r="AG145" s="299"/>
      <c r="AH145" s="299"/>
      <c r="AI145" s="299"/>
      <c r="AJ145" s="299"/>
      <c r="AK145" s="299"/>
      <c r="AL145" s="299"/>
      <c r="AM145" s="299"/>
      <c r="AN145" s="299"/>
      <c r="AO145" s="299"/>
      <c r="AP145" s="299"/>
      <c r="AQ145" s="299"/>
      <c r="AR145" s="299"/>
    </row>
    <row r="146" spans="2:44" s="79" customFormat="1" x14ac:dyDescent="0.2">
      <c r="B146" s="103"/>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299"/>
      <c r="AA146" s="299"/>
      <c r="AB146" s="299"/>
      <c r="AC146" s="299"/>
      <c r="AD146" s="299"/>
      <c r="AE146" s="299"/>
      <c r="AF146" s="299"/>
      <c r="AG146" s="299"/>
      <c r="AH146" s="299"/>
      <c r="AI146" s="299"/>
      <c r="AJ146" s="299"/>
      <c r="AK146" s="299"/>
      <c r="AL146" s="299"/>
      <c r="AM146" s="299"/>
      <c r="AN146" s="299"/>
      <c r="AO146" s="299"/>
      <c r="AP146" s="299"/>
      <c r="AQ146" s="299"/>
      <c r="AR146" s="299"/>
    </row>
    <row r="147" spans="2:44" s="79" customFormat="1" x14ac:dyDescent="0.2">
      <c r="B147" s="103"/>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299"/>
      <c r="AA147" s="299"/>
      <c r="AB147" s="299"/>
      <c r="AC147" s="299"/>
      <c r="AD147" s="299"/>
      <c r="AE147" s="299"/>
      <c r="AF147" s="299"/>
      <c r="AG147" s="299"/>
      <c r="AH147" s="299"/>
      <c r="AI147" s="299"/>
      <c r="AJ147" s="299"/>
      <c r="AK147" s="299"/>
      <c r="AL147" s="299"/>
      <c r="AM147" s="299"/>
      <c r="AN147" s="299"/>
      <c r="AO147" s="299"/>
      <c r="AP147" s="299"/>
      <c r="AQ147" s="299"/>
      <c r="AR147" s="299"/>
    </row>
    <row r="148" spans="2:44" s="79" customFormat="1" x14ac:dyDescent="0.2">
      <c r="B148" s="103"/>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299"/>
      <c r="AA148" s="299"/>
      <c r="AB148" s="299"/>
      <c r="AC148" s="299"/>
      <c r="AD148" s="299"/>
      <c r="AE148" s="299"/>
      <c r="AF148" s="299"/>
      <c r="AG148" s="299"/>
      <c r="AH148" s="299"/>
      <c r="AI148" s="299"/>
      <c r="AJ148" s="299"/>
      <c r="AK148" s="299"/>
      <c r="AL148" s="299"/>
      <c r="AM148" s="299"/>
      <c r="AN148" s="299"/>
      <c r="AO148" s="299"/>
      <c r="AP148" s="299"/>
      <c r="AQ148" s="299"/>
      <c r="AR148" s="299"/>
    </row>
    <row r="149" spans="2:44" s="79" customFormat="1" x14ac:dyDescent="0.2">
      <c r="B149" s="103"/>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299"/>
      <c r="AA149" s="299"/>
      <c r="AB149" s="299"/>
      <c r="AC149" s="299"/>
      <c r="AD149" s="299"/>
      <c r="AE149" s="299"/>
      <c r="AF149" s="299"/>
      <c r="AG149" s="299"/>
      <c r="AH149" s="299"/>
      <c r="AI149" s="299"/>
      <c r="AJ149" s="299"/>
      <c r="AK149" s="299"/>
      <c r="AL149" s="299"/>
      <c r="AM149" s="299"/>
      <c r="AN149" s="299"/>
      <c r="AO149" s="299"/>
      <c r="AP149" s="299"/>
      <c r="AQ149" s="299"/>
      <c r="AR149" s="299"/>
    </row>
    <row r="150" spans="2:44" s="79" customFormat="1" x14ac:dyDescent="0.2">
      <c r="B150" s="103"/>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299"/>
      <c r="AA150" s="299"/>
      <c r="AB150" s="299"/>
      <c r="AC150" s="299"/>
      <c r="AD150" s="299"/>
      <c r="AE150" s="299"/>
      <c r="AF150" s="299"/>
      <c r="AG150" s="299"/>
      <c r="AH150" s="299"/>
      <c r="AI150" s="299"/>
      <c r="AJ150" s="299"/>
      <c r="AK150" s="299"/>
      <c r="AL150" s="299"/>
      <c r="AM150" s="299"/>
      <c r="AN150" s="299"/>
      <c r="AO150" s="299"/>
      <c r="AP150" s="299"/>
      <c r="AQ150" s="299"/>
      <c r="AR150" s="299"/>
    </row>
    <row r="151" spans="2:44" s="79" customFormat="1" x14ac:dyDescent="0.2">
      <c r="B151" s="103"/>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299"/>
      <c r="AA151" s="299"/>
      <c r="AB151" s="299"/>
      <c r="AC151" s="299"/>
      <c r="AD151" s="299"/>
      <c r="AE151" s="299"/>
      <c r="AF151" s="299"/>
      <c r="AG151" s="299"/>
      <c r="AH151" s="299"/>
      <c r="AI151" s="299"/>
      <c r="AJ151" s="299"/>
      <c r="AK151" s="299"/>
      <c r="AL151" s="299"/>
      <c r="AM151" s="299"/>
      <c r="AN151" s="299"/>
      <c r="AO151" s="299"/>
      <c r="AP151" s="299"/>
      <c r="AQ151" s="299"/>
      <c r="AR151" s="299"/>
    </row>
    <row r="152" spans="2:44" s="79" customFormat="1" x14ac:dyDescent="0.2">
      <c r="B152" s="103"/>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299"/>
      <c r="AA152" s="299"/>
      <c r="AB152" s="299"/>
      <c r="AC152" s="299"/>
      <c r="AD152" s="299"/>
      <c r="AE152" s="299"/>
      <c r="AF152" s="299"/>
      <c r="AG152" s="299"/>
      <c r="AH152" s="299"/>
      <c r="AI152" s="299"/>
      <c r="AJ152" s="299"/>
      <c r="AK152" s="299"/>
      <c r="AL152" s="299"/>
      <c r="AM152" s="299"/>
      <c r="AN152" s="299"/>
      <c r="AO152" s="299"/>
      <c r="AP152" s="299"/>
      <c r="AQ152" s="299"/>
      <c r="AR152" s="299"/>
    </row>
    <row r="153" spans="2:44" s="79" customFormat="1" x14ac:dyDescent="0.2">
      <c r="B153" s="103"/>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299"/>
      <c r="AA153" s="299"/>
      <c r="AB153" s="299"/>
      <c r="AC153" s="299"/>
      <c r="AD153" s="299"/>
      <c r="AE153" s="299"/>
      <c r="AF153" s="299"/>
      <c r="AG153" s="299"/>
      <c r="AH153" s="299"/>
      <c r="AI153" s="299"/>
      <c r="AJ153" s="299"/>
      <c r="AK153" s="299"/>
      <c r="AL153" s="299"/>
      <c r="AM153" s="299"/>
      <c r="AN153" s="299"/>
      <c r="AO153" s="299"/>
      <c r="AP153" s="299"/>
      <c r="AQ153" s="299"/>
      <c r="AR153" s="299"/>
    </row>
    <row r="154" spans="2:44" s="79" customFormat="1" x14ac:dyDescent="0.2">
      <c r="B154" s="103"/>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299"/>
      <c r="AA154" s="299"/>
      <c r="AB154" s="299"/>
      <c r="AC154" s="299"/>
      <c r="AD154" s="299"/>
      <c r="AE154" s="299"/>
      <c r="AF154" s="299"/>
      <c r="AG154" s="299"/>
      <c r="AH154" s="299"/>
      <c r="AI154" s="299"/>
      <c r="AJ154" s="299"/>
      <c r="AK154" s="299"/>
      <c r="AL154" s="299"/>
      <c r="AM154" s="299"/>
      <c r="AN154" s="299"/>
      <c r="AO154" s="299"/>
      <c r="AP154" s="299"/>
      <c r="AQ154" s="299"/>
      <c r="AR154" s="299"/>
    </row>
    <row r="155" spans="2:44" s="79" customFormat="1" x14ac:dyDescent="0.2">
      <c r="B155" s="103"/>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299"/>
      <c r="AA155" s="299"/>
      <c r="AB155" s="299"/>
      <c r="AC155" s="299"/>
      <c r="AD155" s="299"/>
      <c r="AE155" s="299"/>
      <c r="AF155" s="299"/>
      <c r="AG155" s="299"/>
      <c r="AH155" s="299"/>
      <c r="AI155" s="299"/>
      <c r="AJ155" s="299"/>
      <c r="AK155" s="299"/>
      <c r="AL155" s="299"/>
      <c r="AM155" s="299"/>
      <c r="AN155" s="299"/>
      <c r="AO155" s="299"/>
      <c r="AP155" s="299"/>
      <c r="AQ155" s="299"/>
      <c r="AR155" s="299"/>
    </row>
    <row r="156" spans="2:44" s="79" customFormat="1" x14ac:dyDescent="0.2">
      <c r="B156" s="299"/>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299"/>
      <c r="AA156" s="299"/>
      <c r="AB156" s="299"/>
      <c r="AC156" s="299"/>
      <c r="AD156" s="299"/>
      <c r="AE156" s="299"/>
      <c r="AF156" s="299"/>
      <c r="AG156" s="299"/>
      <c r="AH156" s="299"/>
      <c r="AI156" s="299"/>
      <c r="AJ156" s="299"/>
      <c r="AK156" s="299"/>
      <c r="AL156" s="299"/>
      <c r="AM156" s="299"/>
      <c r="AN156" s="299"/>
      <c r="AO156" s="299"/>
      <c r="AP156" s="299"/>
      <c r="AQ156" s="299"/>
      <c r="AR156" s="299"/>
    </row>
    <row r="157" spans="2:44" s="79" customFormat="1" x14ac:dyDescent="0.2">
      <c r="B157" s="299"/>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299"/>
      <c r="AA157" s="299"/>
      <c r="AB157" s="299"/>
      <c r="AC157" s="299"/>
      <c r="AD157" s="299"/>
      <c r="AE157" s="299"/>
      <c r="AF157" s="299"/>
      <c r="AG157" s="299"/>
      <c r="AH157" s="299"/>
      <c r="AI157" s="299"/>
      <c r="AJ157" s="299"/>
      <c r="AK157" s="299"/>
      <c r="AL157" s="299"/>
      <c r="AM157" s="299"/>
      <c r="AN157" s="299"/>
      <c r="AO157" s="299"/>
      <c r="AP157" s="299"/>
      <c r="AQ157" s="299"/>
      <c r="AR157" s="299"/>
    </row>
    <row r="158" spans="2:44" s="79" customFormat="1" x14ac:dyDescent="0.2">
      <c r="B158" s="299"/>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299"/>
      <c r="AA158" s="299"/>
      <c r="AB158" s="299"/>
      <c r="AC158" s="299"/>
      <c r="AD158" s="299"/>
      <c r="AE158" s="299"/>
      <c r="AF158" s="299"/>
      <c r="AG158" s="299"/>
      <c r="AH158" s="299"/>
      <c r="AI158" s="299"/>
      <c r="AJ158" s="299"/>
      <c r="AK158" s="299"/>
      <c r="AL158" s="299"/>
      <c r="AM158" s="299"/>
      <c r="AN158" s="299"/>
      <c r="AO158" s="299"/>
      <c r="AP158" s="299"/>
      <c r="AQ158" s="299"/>
      <c r="AR158" s="299"/>
    </row>
    <row r="159" spans="2:44" s="79" customFormat="1" x14ac:dyDescent="0.2">
      <c r="B159" s="299"/>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6"/>
      <c r="AA159" s="116"/>
      <c r="AB159" s="116"/>
      <c r="AC159" s="116"/>
      <c r="AD159" s="116"/>
      <c r="AE159" s="116"/>
      <c r="AF159" s="116"/>
      <c r="AG159" s="116"/>
      <c r="AH159" s="116"/>
      <c r="AI159" s="116"/>
      <c r="AJ159" s="116"/>
      <c r="AK159" s="116"/>
      <c r="AL159" s="116"/>
      <c r="AM159" s="299"/>
      <c r="AN159" s="299"/>
      <c r="AO159" s="299"/>
      <c r="AP159" s="299"/>
      <c r="AQ159" s="299"/>
      <c r="AR159" s="299"/>
    </row>
    <row r="160" spans="2:44" s="79" customFormat="1" x14ac:dyDescent="0.2">
      <c r="B160" s="299"/>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6"/>
      <c r="AA160" s="116"/>
      <c r="AB160" s="116"/>
      <c r="AC160" s="116"/>
      <c r="AD160" s="116"/>
      <c r="AE160" s="116"/>
      <c r="AF160" s="116"/>
      <c r="AG160" s="116"/>
      <c r="AH160" s="116"/>
      <c r="AI160" s="116"/>
      <c r="AJ160" s="116"/>
      <c r="AK160" s="116"/>
      <c r="AL160" s="116"/>
      <c r="AM160" s="299"/>
      <c r="AN160" s="299"/>
      <c r="AO160" s="299"/>
      <c r="AP160" s="299"/>
      <c r="AQ160" s="299"/>
      <c r="AR160" s="299"/>
    </row>
    <row r="161" spans="1:44" s="79" customFormat="1" x14ac:dyDescent="0.2">
      <c r="B161" s="299"/>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6"/>
      <c r="AA161" s="116"/>
      <c r="AB161" s="116"/>
      <c r="AC161" s="116"/>
      <c r="AD161" s="116"/>
      <c r="AE161" s="116"/>
      <c r="AF161" s="116"/>
      <c r="AG161" s="116"/>
      <c r="AH161" s="116"/>
      <c r="AI161" s="116"/>
      <c r="AJ161" s="116"/>
      <c r="AK161" s="116"/>
      <c r="AL161" s="116"/>
      <c r="AM161" s="299"/>
      <c r="AN161" s="299"/>
      <c r="AO161" s="299"/>
      <c r="AP161" s="299"/>
      <c r="AQ161" s="299"/>
      <c r="AR161" s="299"/>
    </row>
    <row r="162" spans="1:44" s="79" customFormat="1" x14ac:dyDescent="0.2">
      <c r="B162" s="299"/>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6"/>
      <c r="AA162" s="116"/>
      <c r="AB162" s="116"/>
      <c r="AC162" s="116"/>
      <c r="AD162" s="116"/>
      <c r="AE162" s="116"/>
      <c r="AF162" s="116"/>
      <c r="AG162" s="116"/>
      <c r="AH162" s="116"/>
      <c r="AI162" s="116"/>
      <c r="AJ162" s="116"/>
      <c r="AK162" s="116"/>
      <c r="AL162" s="116"/>
      <c r="AM162" s="299"/>
      <c r="AN162" s="299"/>
      <c r="AO162" s="299"/>
      <c r="AP162" s="299"/>
      <c r="AQ162" s="299"/>
      <c r="AR162" s="299"/>
    </row>
    <row r="163" spans="1:44" s="79" customFormat="1" x14ac:dyDescent="0.2">
      <c r="B163" s="299"/>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6"/>
      <c r="AA163" s="116"/>
      <c r="AB163" s="116"/>
      <c r="AC163" s="116"/>
      <c r="AD163" s="116"/>
      <c r="AE163" s="116"/>
      <c r="AF163" s="116"/>
      <c r="AG163" s="116"/>
      <c r="AH163" s="116"/>
      <c r="AI163" s="116"/>
      <c r="AJ163" s="116"/>
      <c r="AK163" s="116"/>
      <c r="AL163" s="116"/>
      <c r="AM163" s="299"/>
      <c r="AN163" s="299"/>
      <c r="AO163" s="299"/>
      <c r="AP163" s="299"/>
      <c r="AQ163" s="299"/>
      <c r="AR163" s="299"/>
    </row>
    <row r="164" spans="1:44" s="79" customFormat="1" x14ac:dyDescent="0.2">
      <c r="B164" s="299"/>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299"/>
      <c r="AN164" s="299"/>
      <c r="AO164" s="299"/>
      <c r="AP164" s="299"/>
      <c r="AQ164" s="299"/>
      <c r="AR164" s="299"/>
    </row>
    <row r="165" spans="1:44" s="79" customFormat="1" x14ac:dyDescent="0.2">
      <c r="B165" s="299"/>
      <c r="C165" s="115" t="s">
        <v>2617</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299"/>
      <c r="AN165" s="299"/>
      <c r="AO165" s="299"/>
      <c r="AP165" s="299"/>
      <c r="AQ165" s="299"/>
      <c r="AR165" s="299"/>
    </row>
    <row r="166" spans="1:44" s="79" customFormat="1" x14ac:dyDescent="0.2">
      <c r="B166" s="299"/>
      <c r="C166" s="115" t="e">
        <f ca="1">IF(AND(H63="Invest- inkl. Tarifförderung",H37&gt;=5),Startmakro1(),Startmakro2())</f>
        <v>#NAME?</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299"/>
      <c r="AN166" s="299"/>
      <c r="AO166" s="299"/>
      <c r="AP166" s="299"/>
      <c r="AQ166" s="299"/>
      <c r="AR166" s="299"/>
    </row>
    <row r="167" spans="1:44" s="79" customFormat="1" x14ac:dyDescent="0.2">
      <c r="B167" s="299"/>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299"/>
      <c r="AN167" s="299"/>
      <c r="AO167" s="299"/>
      <c r="AP167" s="299"/>
      <c r="AQ167" s="299"/>
      <c r="AR167" s="299"/>
    </row>
    <row r="168" spans="1:44" s="79" customFormat="1" x14ac:dyDescent="0.2">
      <c r="A168" s="80"/>
      <c r="B168" s="140"/>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299"/>
      <c r="AN168" s="299"/>
      <c r="AO168" s="299"/>
      <c r="AP168" s="299"/>
      <c r="AQ168" s="299"/>
      <c r="AR168" s="299"/>
    </row>
    <row r="169" spans="1:44" s="79" customFormat="1" x14ac:dyDescent="0.2">
      <c r="A169" s="80"/>
      <c r="B169" s="140"/>
      <c r="C169" s="115"/>
      <c r="D169" s="115">
        <v>1</v>
      </c>
      <c r="E169" s="115"/>
      <c r="F169" s="115" t="s">
        <v>285</v>
      </c>
      <c r="G169" s="115">
        <v>0</v>
      </c>
      <c r="H169" s="115" t="s">
        <v>856</v>
      </c>
      <c r="I169" s="115">
        <v>-90</v>
      </c>
      <c r="J169" s="115"/>
      <c r="K169" s="115"/>
      <c r="L169" s="115"/>
      <c r="M169" s="115"/>
      <c r="N169" s="115"/>
      <c r="O169" s="115"/>
      <c r="P169" s="115"/>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299"/>
      <c r="AN169" s="299"/>
      <c r="AO169" s="299"/>
      <c r="AP169" s="299"/>
      <c r="AQ169" s="299"/>
      <c r="AR169" s="299"/>
    </row>
    <row r="170" spans="1:44" s="79" customFormat="1" x14ac:dyDescent="0.2">
      <c r="A170" s="80"/>
      <c r="B170" s="140"/>
      <c r="C170" s="115" t="s">
        <v>2723</v>
      </c>
      <c r="D170" s="115">
        <v>2</v>
      </c>
      <c r="E170" s="115"/>
      <c r="F170" s="115"/>
      <c r="G170" s="115">
        <v>15</v>
      </c>
      <c r="H170" s="115"/>
      <c r="I170" s="115">
        <v>-75</v>
      </c>
      <c r="J170" s="115"/>
      <c r="K170" s="115" t="s">
        <v>2041</v>
      </c>
      <c r="L170" s="115"/>
      <c r="M170" s="115"/>
      <c r="N170" s="115"/>
      <c r="O170" s="115"/>
      <c r="P170" s="115"/>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299"/>
      <c r="AN170" s="299"/>
      <c r="AO170" s="299"/>
      <c r="AP170" s="299"/>
      <c r="AQ170" s="299"/>
      <c r="AR170" s="299"/>
    </row>
    <row r="171" spans="1:44" s="79" customFormat="1" x14ac:dyDescent="0.2">
      <c r="A171" s="80"/>
      <c r="B171" s="140"/>
      <c r="C171" s="115" t="s">
        <v>2739</v>
      </c>
      <c r="D171" s="115">
        <v>3</v>
      </c>
      <c r="E171" s="115"/>
      <c r="F171" s="115"/>
      <c r="G171" s="115">
        <v>30</v>
      </c>
      <c r="H171" s="115"/>
      <c r="I171" s="115">
        <v>-60</v>
      </c>
      <c r="J171" s="115"/>
      <c r="K171" s="115">
        <f>$H$73</f>
        <v>30</v>
      </c>
      <c r="L171" s="115"/>
      <c r="M171" s="115">
        <f>$K$174/100*K171</f>
        <v>7.4999999999999997E-2</v>
      </c>
      <c r="N171" s="115"/>
      <c r="O171" s="115"/>
      <c r="P171" s="115"/>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299"/>
      <c r="AN171" s="299"/>
      <c r="AO171" s="299"/>
      <c r="AP171" s="299"/>
      <c r="AQ171" s="299"/>
      <c r="AR171" s="299"/>
    </row>
    <row r="172" spans="1:44" s="79" customFormat="1" x14ac:dyDescent="0.2">
      <c r="A172" s="80"/>
      <c r="B172" s="140"/>
      <c r="C172" s="299" t="s">
        <v>827</v>
      </c>
      <c r="D172" s="115">
        <v>4</v>
      </c>
      <c r="E172" s="115"/>
      <c r="F172" s="115"/>
      <c r="G172" s="115">
        <v>45</v>
      </c>
      <c r="H172" s="115"/>
      <c r="I172" s="115">
        <v>-45</v>
      </c>
      <c r="J172" s="115"/>
      <c r="K172" s="115">
        <f>$H$74</f>
        <v>70</v>
      </c>
      <c r="L172" s="115"/>
      <c r="M172" s="115">
        <f>$K$175/100*K172</f>
        <v>6.3E-2</v>
      </c>
      <c r="N172" s="115"/>
      <c r="O172" s="115"/>
      <c r="P172" s="115"/>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299"/>
      <c r="AN172" s="299"/>
      <c r="AO172" s="299"/>
      <c r="AP172" s="299"/>
      <c r="AQ172" s="299"/>
      <c r="AR172" s="299"/>
    </row>
    <row r="173" spans="1:44" s="79" customFormat="1" x14ac:dyDescent="0.2">
      <c r="A173" s="80"/>
      <c r="B173" s="140"/>
      <c r="C173" s="299"/>
      <c r="D173" s="115">
        <v>5</v>
      </c>
      <c r="E173" s="115"/>
      <c r="F173" s="115"/>
      <c r="G173" s="115">
        <v>60</v>
      </c>
      <c r="H173" s="115"/>
      <c r="I173" s="115">
        <v>-30</v>
      </c>
      <c r="J173" s="115"/>
      <c r="K173" s="115"/>
      <c r="L173" s="115"/>
      <c r="M173" s="115">
        <f>SUM(M171:M172)</f>
        <v>0.13800000000000001</v>
      </c>
      <c r="N173" s="115"/>
      <c r="O173" s="115"/>
      <c r="P173" s="115"/>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299"/>
      <c r="AN173" s="299"/>
      <c r="AO173" s="299"/>
      <c r="AP173" s="299"/>
      <c r="AQ173" s="299"/>
      <c r="AR173" s="299"/>
    </row>
    <row r="174" spans="1:44" s="79" customFormat="1" x14ac:dyDescent="0.2">
      <c r="A174" s="80"/>
      <c r="B174" s="140"/>
      <c r="C174" s="115"/>
      <c r="D174" s="115">
        <v>6</v>
      </c>
      <c r="E174" s="115"/>
      <c r="F174" s="115"/>
      <c r="G174" s="115">
        <v>75</v>
      </c>
      <c r="H174" s="115"/>
      <c r="I174" s="115">
        <v>-15</v>
      </c>
      <c r="J174" s="115"/>
      <c r="K174" s="115">
        <f>$H$76</f>
        <v>0.25</v>
      </c>
      <c r="L174" s="115"/>
      <c r="M174" s="115"/>
      <c r="N174" s="115"/>
      <c r="O174" s="115"/>
      <c r="P174" s="115"/>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299"/>
      <c r="AN174" s="299"/>
      <c r="AO174" s="299"/>
      <c r="AP174" s="299"/>
      <c r="AQ174" s="299"/>
      <c r="AR174" s="299"/>
    </row>
    <row r="175" spans="1:44" s="79" customFormat="1" x14ac:dyDescent="0.2">
      <c r="A175" s="80"/>
      <c r="B175" s="140"/>
      <c r="C175" s="115"/>
      <c r="D175" s="115">
        <v>7</v>
      </c>
      <c r="E175" s="115"/>
      <c r="F175" s="115"/>
      <c r="G175" s="115">
        <v>90</v>
      </c>
      <c r="H175" s="115"/>
      <c r="I175" s="115">
        <v>0</v>
      </c>
      <c r="J175" s="115"/>
      <c r="K175" s="115">
        <f>$H$77</f>
        <v>0.09</v>
      </c>
      <c r="L175" s="115"/>
      <c r="M175" s="115"/>
      <c r="N175" s="115"/>
      <c r="O175" s="115"/>
      <c r="P175" s="115"/>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299"/>
      <c r="AN175" s="299"/>
      <c r="AO175" s="299"/>
      <c r="AP175" s="299"/>
      <c r="AQ175" s="299"/>
      <c r="AR175" s="299"/>
    </row>
    <row r="176" spans="1:44" s="79" customFormat="1" x14ac:dyDescent="0.2">
      <c r="A176" s="80"/>
      <c r="B176" s="140"/>
      <c r="C176" s="115"/>
      <c r="D176" s="115">
        <v>8</v>
      </c>
      <c r="E176" s="115"/>
      <c r="F176" s="115"/>
      <c r="G176" s="115"/>
      <c r="H176" s="115"/>
      <c r="I176" s="115">
        <v>15</v>
      </c>
      <c r="J176" s="115"/>
      <c r="K176" s="115"/>
      <c r="L176" s="115"/>
      <c r="M176" s="115"/>
      <c r="N176" s="115"/>
      <c r="O176" s="115"/>
      <c r="P176" s="115"/>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299"/>
      <c r="AN176" s="299"/>
      <c r="AO176" s="299"/>
      <c r="AP176" s="299"/>
      <c r="AQ176" s="299"/>
      <c r="AR176" s="299"/>
    </row>
    <row r="177" spans="1:44" s="79" customFormat="1" x14ac:dyDescent="0.2">
      <c r="A177" s="80"/>
      <c r="B177" s="140"/>
      <c r="C177" s="115"/>
      <c r="D177" s="115">
        <v>9</v>
      </c>
      <c r="E177" s="115"/>
      <c r="F177" s="115"/>
      <c r="G177" s="115"/>
      <c r="H177" s="115"/>
      <c r="I177" s="115">
        <v>30</v>
      </c>
      <c r="J177" s="115"/>
      <c r="K177" s="115"/>
      <c r="L177" s="115"/>
      <c r="M177" s="115"/>
      <c r="N177" s="115"/>
      <c r="O177" s="115"/>
      <c r="P177" s="115"/>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299"/>
      <c r="AN177" s="299"/>
      <c r="AO177" s="299"/>
      <c r="AP177" s="299"/>
      <c r="AQ177" s="299"/>
      <c r="AR177" s="299"/>
    </row>
    <row r="178" spans="1:44" s="79" customFormat="1" x14ac:dyDescent="0.2">
      <c r="A178" s="80"/>
      <c r="B178" s="140"/>
      <c r="C178" s="115"/>
      <c r="D178" s="115">
        <v>10</v>
      </c>
      <c r="E178" s="115"/>
      <c r="F178" s="115"/>
      <c r="G178" s="115"/>
      <c r="H178" s="115"/>
      <c r="I178" s="115">
        <v>45</v>
      </c>
      <c r="J178" s="115"/>
      <c r="K178" s="115"/>
      <c r="L178" s="115"/>
      <c r="M178" s="115"/>
      <c r="N178" s="115"/>
      <c r="O178" s="115"/>
      <c r="P178" s="115"/>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299"/>
      <c r="AN178" s="299"/>
      <c r="AO178" s="299"/>
      <c r="AP178" s="299"/>
      <c r="AQ178" s="299"/>
      <c r="AR178" s="299"/>
    </row>
    <row r="179" spans="1:44" s="79" customFormat="1" x14ac:dyDescent="0.2">
      <c r="A179" s="80"/>
      <c r="B179" s="140"/>
      <c r="C179" s="115"/>
      <c r="D179" s="115">
        <v>11</v>
      </c>
      <c r="E179" s="115"/>
      <c r="F179" s="115"/>
      <c r="G179" s="115"/>
      <c r="H179" s="115"/>
      <c r="I179" s="115">
        <v>60</v>
      </c>
      <c r="J179" s="115"/>
      <c r="K179" s="115" t="s">
        <v>2042</v>
      </c>
      <c r="L179" s="115"/>
      <c r="M179" s="115">
        <f>IF(Berechnungen!L87=0,1,0)</f>
        <v>1</v>
      </c>
      <c r="N179" s="115"/>
      <c r="O179" s="115"/>
      <c r="P179" s="115"/>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299"/>
      <c r="AN179" s="299"/>
      <c r="AO179" s="299"/>
      <c r="AP179" s="299"/>
      <c r="AQ179" s="299"/>
      <c r="AR179" s="299"/>
    </row>
    <row r="180" spans="1:44" s="79" customFormat="1" x14ac:dyDescent="0.2">
      <c r="A180" s="80"/>
      <c r="B180" s="140"/>
      <c r="C180" s="115"/>
      <c r="D180" s="115">
        <v>12</v>
      </c>
      <c r="E180" s="115"/>
      <c r="F180" s="115"/>
      <c r="G180" s="115"/>
      <c r="H180" s="115"/>
      <c r="I180" s="115">
        <v>75</v>
      </c>
      <c r="J180" s="115"/>
      <c r="K180" s="115"/>
      <c r="L180" s="115"/>
      <c r="M180" s="115">
        <f>IF(Berechnungen!C7="Fördertarif",1,0)</f>
        <v>0</v>
      </c>
      <c r="N180" s="115"/>
      <c r="O180" s="115"/>
      <c r="P180" s="115"/>
      <c r="Q180" s="115"/>
      <c r="R180" s="115"/>
      <c r="S180" s="115">
        <f>R182-40</f>
        <v>-25</v>
      </c>
      <c r="T180" s="115"/>
      <c r="U180" s="115">
        <f>R182-30</f>
        <v>-15</v>
      </c>
      <c r="V180" s="115"/>
      <c r="W180" s="115"/>
      <c r="X180" s="115"/>
      <c r="Y180" s="115"/>
      <c r="Z180" s="116"/>
      <c r="AA180" s="116"/>
      <c r="AB180" s="116"/>
      <c r="AC180" s="116"/>
      <c r="AD180" s="116"/>
      <c r="AE180" s="116"/>
      <c r="AF180" s="116"/>
      <c r="AG180" s="116"/>
      <c r="AH180" s="116"/>
      <c r="AI180" s="116"/>
      <c r="AJ180" s="116"/>
      <c r="AK180" s="116"/>
      <c r="AL180" s="116"/>
      <c r="AM180" s="299"/>
      <c r="AN180" s="299"/>
      <c r="AO180" s="299"/>
      <c r="AP180" s="299"/>
      <c r="AQ180" s="299"/>
      <c r="AR180" s="299"/>
    </row>
    <row r="181" spans="1:44" s="79" customFormat="1" x14ac:dyDescent="0.2">
      <c r="A181" s="80"/>
      <c r="B181" s="140"/>
      <c r="C181" s="115"/>
      <c r="D181" s="115">
        <v>13</v>
      </c>
      <c r="E181" s="115"/>
      <c r="F181" s="115"/>
      <c r="G181" s="115"/>
      <c r="H181" s="115"/>
      <c r="I181" s="115">
        <v>90</v>
      </c>
      <c r="J181" s="115"/>
      <c r="K181" s="115"/>
      <c r="L181" s="115"/>
      <c r="M181" s="115">
        <f>SUM(M179:M180)</f>
        <v>1</v>
      </c>
      <c r="N181" s="115"/>
      <c r="O181" s="115"/>
      <c r="P181" s="115"/>
      <c r="Q181" s="115"/>
      <c r="R181" s="115" t="s">
        <v>2717</v>
      </c>
      <c r="S181" s="115" t="s">
        <v>2718</v>
      </c>
      <c r="T181" s="115"/>
      <c r="U181" s="462" t="s">
        <v>2719</v>
      </c>
      <c r="V181" s="115" t="s">
        <v>2720</v>
      </c>
      <c r="W181" s="115"/>
      <c r="X181" s="115"/>
      <c r="Y181" s="115"/>
      <c r="Z181" s="116"/>
      <c r="AA181" s="116"/>
      <c r="AB181" s="116"/>
      <c r="AC181" s="116"/>
      <c r="AD181" s="116"/>
      <c r="AE181" s="116"/>
      <c r="AF181" s="116"/>
      <c r="AG181" s="116"/>
      <c r="AH181" s="116"/>
      <c r="AI181" s="116"/>
      <c r="AJ181" s="116"/>
      <c r="AK181" s="116"/>
      <c r="AL181" s="116"/>
      <c r="AM181" s="299"/>
      <c r="AN181" s="299"/>
      <c r="AO181" s="299"/>
      <c r="AP181" s="299"/>
      <c r="AQ181" s="299"/>
      <c r="AR181" s="299"/>
    </row>
    <row r="182" spans="1:44" s="79" customFormat="1" x14ac:dyDescent="0.2">
      <c r="A182" s="80"/>
      <c r="B182" s="140"/>
      <c r="C182" s="115"/>
      <c r="D182" s="115">
        <v>14</v>
      </c>
      <c r="E182" s="115"/>
      <c r="F182" s="115"/>
      <c r="G182" s="115"/>
      <c r="H182" s="115"/>
      <c r="I182" s="115"/>
      <c r="J182" s="115"/>
      <c r="K182" s="115"/>
      <c r="L182" s="115"/>
      <c r="M182" s="115"/>
      <c r="N182" s="115"/>
      <c r="O182" s="115"/>
      <c r="P182" s="115"/>
      <c r="Q182" s="115"/>
      <c r="R182" s="119">
        <f>H37</f>
        <v>15</v>
      </c>
      <c r="S182" s="115">
        <v>250</v>
      </c>
      <c r="T182" s="115"/>
      <c r="U182" s="115">
        <v>200</v>
      </c>
      <c r="V182" s="115">
        <v>150</v>
      </c>
      <c r="W182" s="115"/>
      <c r="X182" s="115"/>
      <c r="Y182" s="115"/>
      <c r="Z182" s="116"/>
      <c r="AA182" s="116"/>
      <c r="AB182" s="116"/>
      <c r="AC182" s="116"/>
      <c r="AD182" s="116"/>
      <c r="AE182" s="116"/>
      <c r="AF182" s="116"/>
      <c r="AG182" s="116"/>
      <c r="AH182" s="116"/>
      <c r="AI182" s="116"/>
      <c r="AJ182" s="116"/>
      <c r="AK182" s="116"/>
      <c r="AL182" s="116"/>
      <c r="AM182" s="299"/>
      <c r="AN182" s="299"/>
      <c r="AO182" s="299"/>
      <c r="AP182" s="299"/>
      <c r="AQ182" s="299"/>
      <c r="AR182" s="299"/>
    </row>
    <row r="183" spans="1:44" s="79" customFormat="1" x14ac:dyDescent="0.2">
      <c r="A183" s="80"/>
      <c r="B183" s="140"/>
      <c r="C183" s="115"/>
      <c r="D183" s="115">
        <v>15</v>
      </c>
      <c r="E183" s="115"/>
      <c r="F183" s="115"/>
      <c r="G183" s="115"/>
      <c r="H183" s="115"/>
      <c r="I183" s="115"/>
      <c r="J183" s="115"/>
      <c r="K183" s="115"/>
      <c r="L183" s="115"/>
      <c r="M183" s="115"/>
      <c r="N183" s="115"/>
      <c r="O183" s="115"/>
      <c r="P183" s="115"/>
      <c r="Q183" s="115"/>
      <c r="R183" s="115">
        <f>SUM(IF(R182&lt;=10,R182*S182,IF(R182&lt;=20,10*S182+(R182-10)*U182,IF(R182&lt;=50,10*S182+10*U182+(R182-20)*V182,0)))+(IF(AND(C55=C222,R182&lt;=50),R182*100,0)))</f>
        <v>3500</v>
      </c>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299"/>
      <c r="AN183" s="299"/>
      <c r="AO183" s="299"/>
      <c r="AP183" s="299"/>
      <c r="AQ183" s="299"/>
      <c r="AR183" s="299"/>
    </row>
    <row r="184" spans="1:44" s="79" customFormat="1" x14ac:dyDescent="0.2">
      <c r="A184" s="80"/>
      <c r="B184" s="140"/>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299"/>
      <c r="AN184" s="299"/>
      <c r="AO184" s="299"/>
      <c r="AP184" s="299"/>
      <c r="AQ184" s="299"/>
      <c r="AR184" s="299"/>
    </row>
    <row r="185" spans="1:44" s="79" customFormat="1" x14ac:dyDescent="0.2">
      <c r="A185" s="80"/>
      <c r="B185" s="140"/>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299"/>
      <c r="AN185" s="299"/>
      <c r="AO185" s="299"/>
      <c r="AP185" s="299"/>
      <c r="AQ185" s="299"/>
      <c r="AR185" s="299"/>
    </row>
    <row r="186" spans="1:44" s="79" customFormat="1" x14ac:dyDescent="0.2">
      <c r="A186" s="80"/>
      <c r="B186" s="140"/>
      <c r="C186" s="115"/>
      <c r="D186" s="115"/>
      <c r="E186" s="115"/>
      <c r="F186" s="115"/>
      <c r="G186" s="115" t="s">
        <v>1241</v>
      </c>
      <c r="H186" s="115" t="str">
        <f>Berechnungen!F6</f>
        <v>O</v>
      </c>
      <c r="I186" s="115"/>
      <c r="J186" s="115"/>
      <c r="K186" s="115"/>
      <c r="L186" s="115"/>
      <c r="M186" s="115"/>
      <c r="N186" s="115"/>
      <c r="O186" s="115"/>
      <c r="P186" s="115"/>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299"/>
      <c r="AN186" s="299"/>
      <c r="AO186" s="299"/>
      <c r="AP186" s="299"/>
      <c r="AQ186" s="299"/>
      <c r="AR186" s="299"/>
    </row>
    <row r="187" spans="1:44" s="79" customFormat="1" x14ac:dyDescent="0.2">
      <c r="A187" s="80"/>
      <c r="B187" s="140"/>
      <c r="C187" s="115" t="s">
        <v>2631</v>
      </c>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299"/>
      <c r="AN187" s="299"/>
      <c r="AO187" s="299"/>
      <c r="AP187" s="299"/>
      <c r="AQ187" s="299"/>
      <c r="AR187" s="299"/>
    </row>
    <row r="188" spans="1:44" s="79" customFormat="1" x14ac:dyDescent="0.2">
      <c r="A188" s="80"/>
      <c r="B188" s="140"/>
      <c r="C188" s="115" t="s">
        <v>2632</v>
      </c>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299"/>
      <c r="AN188" s="299"/>
      <c r="AO188" s="299"/>
      <c r="AP188" s="299"/>
      <c r="AQ188" s="299"/>
      <c r="AR188" s="299"/>
    </row>
    <row r="189" spans="1:44" s="79" customFormat="1" x14ac:dyDescent="0.2">
      <c r="A189" s="80"/>
      <c r="B189" s="140"/>
      <c r="C189" s="115" t="s">
        <v>2633</v>
      </c>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299"/>
      <c r="AN189" s="299"/>
      <c r="AO189" s="299"/>
      <c r="AP189" s="299"/>
      <c r="AQ189" s="299"/>
      <c r="AR189" s="299"/>
    </row>
    <row r="190" spans="1:44" s="79" customFormat="1" x14ac:dyDescent="0.2">
      <c r="A190" s="80"/>
      <c r="B190" s="140"/>
      <c r="C190" s="115" t="s">
        <v>2634</v>
      </c>
      <c r="D190" s="115"/>
      <c r="E190" s="115"/>
      <c r="F190" s="115"/>
      <c r="G190" s="115"/>
      <c r="H190" s="115"/>
      <c r="I190" s="117" t="s">
        <v>684</v>
      </c>
      <c r="J190" s="117" t="s">
        <v>1564</v>
      </c>
      <c r="K190" s="115"/>
      <c r="L190" s="115"/>
      <c r="M190" s="117" t="s">
        <v>2713</v>
      </c>
      <c r="N190" s="115" t="s">
        <v>1563</v>
      </c>
      <c r="O190" s="115"/>
      <c r="P190" s="115"/>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299"/>
      <c r="AN190" s="299"/>
      <c r="AO190" s="299"/>
      <c r="AP190" s="299"/>
      <c r="AQ190" s="299"/>
      <c r="AR190" s="299"/>
    </row>
    <row r="191" spans="1:44" s="79" customFormat="1" x14ac:dyDescent="0.2">
      <c r="A191" s="80"/>
      <c r="B191" s="140"/>
      <c r="C191" s="115"/>
      <c r="D191" s="115"/>
      <c r="E191" s="115"/>
      <c r="F191" s="115"/>
      <c r="G191" s="115"/>
      <c r="H191" s="115" t="s">
        <v>1562</v>
      </c>
      <c r="I191" s="463">
        <f>H91</f>
        <v>0</v>
      </c>
      <c r="J191" s="115">
        <f>F218</f>
        <v>0</v>
      </c>
      <c r="K191" s="115"/>
      <c r="L191" s="115"/>
      <c r="M191" s="115">
        <f>G218</f>
        <v>5250</v>
      </c>
      <c r="N191" s="463">
        <f>H92</f>
        <v>21000</v>
      </c>
      <c r="O191" s="115"/>
      <c r="P191" s="115"/>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299"/>
      <c r="AN191" s="299"/>
      <c r="AO191" s="299"/>
      <c r="AP191" s="299"/>
      <c r="AQ191" s="299"/>
      <c r="AR191" s="299"/>
    </row>
    <row r="192" spans="1:44" s="79" customFormat="1" x14ac:dyDescent="0.2">
      <c r="A192" s="80"/>
      <c r="B192" s="140"/>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299"/>
      <c r="AN192" s="299"/>
      <c r="AO192" s="299"/>
      <c r="AP192" s="299"/>
      <c r="AQ192" s="299"/>
      <c r="AR192" s="299"/>
    </row>
    <row r="193" spans="1:44" s="79" customFormat="1" x14ac:dyDescent="0.2">
      <c r="A193" s="80"/>
      <c r="B193" s="140"/>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299"/>
      <c r="AN193" s="299"/>
      <c r="AO193" s="299"/>
      <c r="AP193" s="299"/>
      <c r="AQ193" s="299"/>
      <c r="AR193" s="299"/>
    </row>
    <row r="194" spans="1:44" s="79" customFormat="1" x14ac:dyDescent="0.2">
      <c r="A194" s="80"/>
      <c r="B194" s="140"/>
      <c r="C194" s="115"/>
      <c r="D194" s="115"/>
      <c r="E194" s="115"/>
      <c r="F194" s="115"/>
      <c r="G194" s="115" t="s">
        <v>677</v>
      </c>
      <c r="H194" s="115" t="s">
        <v>680</v>
      </c>
      <c r="I194" s="115">
        <f>H104</f>
        <v>0.09</v>
      </c>
      <c r="J194" s="447"/>
      <c r="K194" s="115"/>
      <c r="L194" s="115"/>
      <c r="M194" s="447">
        <f>IF($H$63="Überschusseinspeisung",0,I60-I194)</f>
        <v>-0.09</v>
      </c>
      <c r="N194" s="115"/>
      <c r="O194" s="115"/>
      <c r="P194" s="115"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299"/>
      <c r="AN194" s="299"/>
      <c r="AO194" s="299"/>
      <c r="AP194" s="299"/>
      <c r="AQ194" s="299"/>
      <c r="AR194" s="299"/>
    </row>
    <row r="195" spans="1:44" s="79" customFormat="1" x14ac:dyDescent="0.2">
      <c r="A195" s="80"/>
      <c r="B195" s="140"/>
      <c r="C195" s="115"/>
      <c r="D195" s="115"/>
      <c r="E195" s="115"/>
      <c r="F195" s="115"/>
      <c r="G195" s="115"/>
      <c r="H195" s="462" t="s">
        <v>679</v>
      </c>
      <c r="I195" s="115">
        <f>H104</f>
        <v>0.09</v>
      </c>
      <c r="J195" s="447"/>
      <c r="K195" s="115"/>
      <c r="L195" s="115"/>
      <c r="M195" s="447">
        <f>IF($H$63="Überschusseinspeisung",0,I59-I195)</f>
        <v>-0.09</v>
      </c>
      <c r="N195" s="115"/>
      <c r="O195" s="115"/>
      <c r="P195" s="115"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299"/>
      <c r="AN195" s="299"/>
      <c r="AO195" s="299"/>
      <c r="AP195" s="299"/>
      <c r="AQ195" s="299"/>
      <c r="AR195" s="299"/>
    </row>
    <row r="196" spans="1:44" s="79" customFormat="1" x14ac:dyDescent="0.2">
      <c r="A196" s="80"/>
      <c r="B196" s="140"/>
      <c r="C196" s="115" t="s">
        <v>2730</v>
      </c>
      <c r="D196" s="115"/>
      <c r="E196" s="115"/>
      <c r="F196" s="115"/>
      <c r="G196" s="115"/>
      <c r="H196" s="115" t="s">
        <v>682</v>
      </c>
      <c r="I196" s="115">
        <f>H104</f>
        <v>0.09</v>
      </c>
      <c r="J196" s="115"/>
      <c r="K196" s="115"/>
      <c r="L196" s="115"/>
      <c r="M196" s="464">
        <f>H79-I196</f>
        <v>4.8000000000000015E-2</v>
      </c>
      <c r="N196" s="115"/>
      <c r="O196" s="115"/>
      <c r="P196" s="115"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299"/>
      <c r="AN196" s="299"/>
      <c r="AO196" s="299"/>
      <c r="AP196" s="299"/>
      <c r="AQ196" s="299"/>
      <c r="AR196" s="299"/>
    </row>
    <row r="197" spans="1:44" s="79" customFormat="1" x14ac:dyDescent="0.2">
      <c r="A197" s="80"/>
      <c r="B197" s="140"/>
      <c r="C197" s="115" t="s">
        <v>2564</v>
      </c>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299"/>
      <c r="AN197" s="299"/>
      <c r="AO197" s="299"/>
      <c r="AP197" s="299"/>
      <c r="AQ197" s="299"/>
      <c r="AR197" s="299"/>
    </row>
    <row r="198" spans="1:44" s="79" customFormat="1" x14ac:dyDescent="0.2">
      <c r="A198" s="80"/>
      <c r="B198" s="140"/>
      <c r="C198" s="115" t="s">
        <v>2731</v>
      </c>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299"/>
      <c r="AN198" s="299"/>
      <c r="AO198" s="299"/>
      <c r="AP198" s="299"/>
      <c r="AQ198" s="299"/>
      <c r="AR198" s="299"/>
    </row>
    <row r="199" spans="1:44" s="79" customFormat="1" x14ac:dyDescent="0.2">
      <c r="A199" s="80"/>
      <c r="B199" s="140"/>
      <c r="C199" s="115" t="s">
        <v>2609</v>
      </c>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299"/>
      <c r="AN199" s="299"/>
      <c r="AO199" s="299"/>
      <c r="AP199" s="299"/>
      <c r="AQ199" s="299"/>
      <c r="AR199" s="299"/>
    </row>
    <row r="200" spans="1:44" s="79" customFormat="1" x14ac:dyDescent="0.2">
      <c r="A200" s="80"/>
      <c r="B200" s="140"/>
      <c r="C200" s="115" t="s">
        <v>1658</v>
      </c>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299"/>
      <c r="AN200" s="299"/>
      <c r="AO200" s="299"/>
      <c r="AP200" s="299"/>
      <c r="AQ200" s="299"/>
      <c r="AR200" s="299"/>
    </row>
    <row r="201" spans="1:44" s="79" customFormat="1" x14ac:dyDescent="0.2">
      <c r="A201" s="80"/>
      <c r="B201" s="140"/>
      <c r="C201" s="115" t="s">
        <v>934</v>
      </c>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299"/>
      <c r="AN201" s="299"/>
      <c r="AO201" s="299"/>
      <c r="AP201" s="299"/>
      <c r="AQ201" s="299"/>
      <c r="AR201" s="299"/>
    </row>
    <row r="202" spans="1:44" s="79" customFormat="1" x14ac:dyDescent="0.2">
      <c r="A202" s="80"/>
      <c r="B202" s="140"/>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299"/>
      <c r="AN202" s="299"/>
      <c r="AO202" s="299"/>
      <c r="AP202" s="299"/>
      <c r="AQ202" s="299"/>
      <c r="AR202" s="299"/>
    </row>
    <row r="203" spans="1:44" s="79" customFormat="1" x14ac:dyDescent="0.2">
      <c r="A203" s="80"/>
      <c r="B203" s="140"/>
      <c r="C203" s="115" t="s">
        <v>1832</v>
      </c>
      <c r="D203" s="115"/>
      <c r="E203" s="115"/>
      <c r="F203" s="115"/>
      <c r="G203" s="115" t="s">
        <v>2619</v>
      </c>
      <c r="H203" s="115"/>
      <c r="I203" s="115"/>
      <c r="J203" s="115"/>
      <c r="K203" s="115"/>
      <c r="L203" s="115"/>
      <c r="M203" s="115"/>
      <c r="N203" s="115"/>
      <c r="O203" s="115"/>
      <c r="P203" s="115"/>
      <c r="Q203" s="115"/>
      <c r="R203" s="115"/>
      <c r="S203" s="115"/>
      <c r="T203" s="115"/>
      <c r="U203" s="115"/>
      <c r="V203" s="115"/>
      <c r="W203" s="465" t="s">
        <v>2635</v>
      </c>
      <c r="X203" s="115"/>
      <c r="Y203" s="115"/>
      <c r="Z203" s="116"/>
      <c r="AA203" s="116"/>
      <c r="AB203" s="116"/>
      <c r="AC203" s="116"/>
      <c r="AD203" s="116"/>
      <c r="AE203" s="116"/>
      <c r="AF203" s="116"/>
      <c r="AG203" s="116"/>
      <c r="AH203" s="116"/>
      <c r="AI203" s="116"/>
      <c r="AJ203" s="116"/>
      <c r="AK203" s="116"/>
      <c r="AL203" s="116"/>
      <c r="AM203" s="299"/>
      <c r="AN203" s="299"/>
      <c r="AO203" s="299"/>
      <c r="AP203" s="299"/>
      <c r="AQ203" s="299"/>
      <c r="AR203" s="299"/>
    </row>
    <row r="204" spans="1:44" s="79" customFormat="1" x14ac:dyDescent="0.2">
      <c r="A204" s="80"/>
      <c r="B204" s="140"/>
      <c r="C204" s="115" t="s">
        <v>1833</v>
      </c>
      <c r="D204" s="115"/>
      <c r="E204" s="115"/>
      <c r="F204" s="115"/>
      <c r="G204" s="115">
        <f>IF(AND($H$63&lt;&gt;"Fördertarif",D209=$H$186,$E$66=$C$204),IF(H37*800&gt;4000,4000,H37*800),0)</f>
        <v>0</v>
      </c>
      <c r="H204" s="115"/>
      <c r="I204" s="115"/>
      <c r="J204" s="115"/>
      <c r="K204" s="115"/>
      <c r="L204" s="115"/>
      <c r="M204" s="115"/>
      <c r="N204" s="115"/>
      <c r="O204" s="115"/>
      <c r="P204" s="115"/>
      <c r="Q204" s="115"/>
      <c r="R204" s="115"/>
      <c r="S204" s="115"/>
      <c r="T204" s="115"/>
      <c r="U204" s="115"/>
      <c r="V204" s="115"/>
      <c r="W204" s="465"/>
      <c r="X204" s="115"/>
      <c r="Y204" s="115"/>
      <c r="Z204" s="116"/>
      <c r="AA204" s="116"/>
      <c r="AB204" s="116"/>
      <c r="AC204" s="116"/>
      <c r="AD204" s="116"/>
      <c r="AE204" s="116"/>
      <c r="AF204" s="116"/>
      <c r="AG204" s="116"/>
      <c r="AH204" s="116"/>
      <c r="AI204" s="116"/>
      <c r="AJ204" s="116"/>
      <c r="AK204" s="116"/>
      <c r="AL204" s="116"/>
      <c r="AM204" s="299"/>
      <c r="AN204" s="299"/>
      <c r="AO204" s="299"/>
      <c r="AP204" s="299"/>
      <c r="AQ204" s="299"/>
      <c r="AR204" s="299"/>
    </row>
    <row r="205" spans="1:44" s="79" customFormat="1" x14ac:dyDescent="0.2">
      <c r="A205" s="80"/>
      <c r="B205" s="140"/>
      <c r="C205" s="115"/>
      <c r="D205" s="115"/>
      <c r="E205" s="115"/>
      <c r="F205" s="115"/>
      <c r="G205" s="115">
        <f>IF(AND($H$63&lt;&gt;"Fördertarif",D210=$H$186),IF(H37*800&gt;4000,4000,H37*800),0)</f>
        <v>0</v>
      </c>
      <c r="H205" s="115"/>
      <c r="I205" s="115"/>
      <c r="J205" s="115"/>
      <c r="K205" s="115"/>
      <c r="L205" s="115"/>
      <c r="M205" s="115"/>
      <c r="N205" s="115"/>
      <c r="O205" s="115"/>
      <c r="P205" s="115"/>
      <c r="Q205" s="115"/>
      <c r="R205" s="115"/>
      <c r="S205" s="115"/>
      <c r="T205" s="115"/>
      <c r="U205" s="115"/>
      <c r="V205" s="115"/>
      <c r="W205" s="465" t="s">
        <v>2636</v>
      </c>
      <c r="X205" s="115"/>
      <c r="Y205" s="115"/>
      <c r="Z205" s="116"/>
      <c r="AA205" s="116"/>
      <c r="AB205" s="116"/>
      <c r="AC205" s="116"/>
      <c r="AD205" s="116"/>
      <c r="AE205" s="116"/>
      <c r="AF205" s="116"/>
      <c r="AG205" s="116"/>
      <c r="AH205" s="116"/>
      <c r="AI205" s="116"/>
      <c r="AJ205" s="116"/>
      <c r="AK205" s="116"/>
      <c r="AL205" s="116"/>
      <c r="AM205" s="299"/>
      <c r="AN205" s="299"/>
      <c r="AO205" s="299"/>
      <c r="AP205" s="299"/>
      <c r="AQ205" s="299"/>
      <c r="AR205" s="299"/>
    </row>
    <row r="206" spans="1:44" s="79" customFormat="1" x14ac:dyDescent="0.2">
      <c r="A206" s="80"/>
      <c r="B206" s="140"/>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299"/>
      <c r="AN206" s="299"/>
      <c r="AO206" s="299"/>
      <c r="AP206" s="299"/>
      <c r="AQ206" s="299"/>
      <c r="AR206" s="299"/>
    </row>
    <row r="207" spans="1:44" s="79" customFormat="1" x14ac:dyDescent="0.2">
      <c r="A207" s="80"/>
      <c r="B207" s="140"/>
      <c r="C207" s="115" t="s">
        <v>144</v>
      </c>
      <c r="D207" s="115"/>
      <c r="E207" s="115"/>
      <c r="F207" s="115" t="s">
        <v>1832</v>
      </c>
      <c r="G207" s="115" t="s">
        <v>1833</v>
      </c>
      <c r="H207" s="115"/>
      <c r="I207" s="115" t="s">
        <v>1959</v>
      </c>
      <c r="J207" s="115"/>
      <c r="K207" s="115"/>
      <c r="L207" s="115"/>
      <c r="M207" s="115"/>
      <c r="N207" s="115"/>
      <c r="O207" s="115"/>
      <c r="P207" s="115"/>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299"/>
      <c r="AN207" s="299"/>
      <c r="AO207" s="299"/>
      <c r="AP207" s="299"/>
      <c r="AQ207" s="299"/>
      <c r="AR207" s="299"/>
    </row>
    <row r="208" spans="1:44" s="79" customFormat="1" x14ac:dyDescent="0.2">
      <c r="A208" s="80"/>
      <c r="B208" s="140"/>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299"/>
      <c r="AN208" s="299"/>
      <c r="AO208" s="299"/>
      <c r="AP208" s="299"/>
      <c r="AQ208" s="299"/>
      <c r="AR208" s="299"/>
    </row>
    <row r="209" spans="1:44" s="81" customFormat="1" x14ac:dyDescent="0.2">
      <c r="A209" s="54"/>
      <c r="B209" s="140"/>
      <c r="C209" s="115"/>
      <c r="D209" s="115" t="s">
        <v>1806</v>
      </c>
      <c r="E209" s="115"/>
      <c r="F209" s="115">
        <f>IF(AND($H$63&lt;&gt;C169,$H$186=D209,$E$66=$C$203),IF($H$37*275&gt;0.3*$H$86*$H$37,0.3*$H$86*$H$37,$H$37*275),0)</f>
        <v>0</v>
      </c>
      <c r="G209" s="115">
        <f>IF(AND(D209=$H$186,$H$63=$C$171),IF($H$37&lt;=35,$H$89*0.2,0),0)</f>
        <v>0</v>
      </c>
      <c r="H209" s="115">
        <f>IF(AND(D209=$H$186,$H$63="Fördertarif",OR($C$55="Aufdach",AND($C$55="Gebäudeintegriert",$C$57=$C$197)),$H$37&lt;=200,$H$37&gt;5),IF($H$37*250&gt;$H$89*0.4,$H$89*0.4,$H$37*250),0)</f>
        <v>0</v>
      </c>
      <c r="I209" s="115" t="s">
        <v>1960</v>
      </c>
      <c r="J209" s="115"/>
      <c r="K209" s="115"/>
      <c r="L209" s="115"/>
      <c r="M209" s="115"/>
      <c r="N209" s="115"/>
      <c r="O209" s="115"/>
      <c r="P209" s="115"/>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299"/>
      <c r="AN209" s="299"/>
      <c r="AO209" s="299"/>
      <c r="AP209" s="299"/>
      <c r="AQ209" s="299"/>
      <c r="AR209" s="299"/>
    </row>
    <row r="210" spans="1:44" s="81" customFormat="1" x14ac:dyDescent="0.2">
      <c r="A210" s="54"/>
      <c r="B210" s="140"/>
      <c r="C210" s="115"/>
      <c r="D210" s="115" t="s">
        <v>1476</v>
      </c>
      <c r="E210" s="115"/>
      <c r="F210" s="115">
        <v>0</v>
      </c>
      <c r="G210" s="115">
        <f t="shared" ref="G210:G217" si="0">IF(AND(D210=$H$186,$H$63=$C$171),IF($H$37&lt;=35,$H$89*0.2,0),0)</f>
        <v>0</v>
      </c>
      <c r="H210" s="115">
        <f t="shared" ref="H210:H217" si="1">IF(AND(D210=$H$186,$H$63="Fördertarif",OR($C$55="Aufdach",AND($C$55="Gebäudeintegriert",$C$57=$C$197)),$H$37&lt;=200,$H$37&gt;5),IF($H$37*250&gt;$H$89*0.4,$H$89*0.4,$H$37*250),0)</f>
        <v>0</v>
      </c>
      <c r="I210" s="115" t="s">
        <v>2707</v>
      </c>
      <c r="J210" s="115"/>
      <c r="K210" s="115"/>
      <c r="L210" s="115"/>
      <c r="M210" s="115"/>
      <c r="N210" s="115"/>
      <c r="O210" s="115"/>
      <c r="P210" s="115"/>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299"/>
      <c r="AN210" s="299"/>
      <c r="AO210" s="299"/>
      <c r="AP210" s="299"/>
      <c r="AQ210" s="299"/>
      <c r="AR210" s="299"/>
    </row>
    <row r="211" spans="1:44" s="81" customFormat="1" x14ac:dyDescent="0.2">
      <c r="A211" s="54"/>
      <c r="B211" s="140"/>
      <c r="C211" s="115"/>
      <c r="D211" s="115" t="s">
        <v>1281</v>
      </c>
      <c r="E211" s="115"/>
      <c r="F211" s="115">
        <v>0</v>
      </c>
      <c r="G211" s="115">
        <f t="shared" si="0"/>
        <v>0</v>
      </c>
      <c r="H211" s="115">
        <f t="shared" si="1"/>
        <v>0</v>
      </c>
      <c r="I211" s="115" t="s">
        <v>1960</v>
      </c>
      <c r="J211" s="115"/>
      <c r="K211" s="115"/>
      <c r="L211" s="115"/>
      <c r="M211" s="115"/>
      <c r="N211" s="115"/>
      <c r="O211" s="115"/>
      <c r="P211" s="115"/>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299"/>
      <c r="AN211" s="299"/>
      <c r="AO211" s="299"/>
      <c r="AP211" s="299"/>
      <c r="AQ211" s="299"/>
      <c r="AR211" s="299"/>
    </row>
    <row r="212" spans="1:44" s="84" customFormat="1" x14ac:dyDescent="0.2">
      <c r="A212" s="56"/>
      <c r="B212" s="140"/>
      <c r="C212" s="115"/>
      <c r="D212" s="115" t="s">
        <v>520</v>
      </c>
      <c r="E212" s="115"/>
      <c r="F212" s="115">
        <v>0</v>
      </c>
      <c r="G212" s="115">
        <f t="shared" si="0"/>
        <v>5250</v>
      </c>
      <c r="H212" s="115">
        <f t="shared" si="1"/>
        <v>0</v>
      </c>
      <c r="I212" s="115" t="s">
        <v>1960</v>
      </c>
      <c r="J212" s="115"/>
      <c r="K212" s="115"/>
      <c r="L212" s="115"/>
      <c r="M212" s="115"/>
      <c r="N212" s="115"/>
      <c r="O212" s="115"/>
      <c r="P212" s="115"/>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299"/>
      <c r="AN212" s="299"/>
      <c r="AO212" s="299"/>
      <c r="AP212" s="299"/>
      <c r="AQ212" s="299"/>
      <c r="AR212" s="299"/>
    </row>
    <row r="213" spans="1:44" s="84" customFormat="1" x14ac:dyDescent="0.2">
      <c r="A213" s="56"/>
      <c r="B213" s="140"/>
      <c r="C213" s="115"/>
      <c r="D213" s="115" t="s">
        <v>669</v>
      </c>
      <c r="E213" s="115"/>
      <c r="F213" s="115">
        <f>IF(AND(D213=$H$186,H63=C172),IF(H37&gt;15,0,IF(H37*F56&gt;H89*0.4,H89*0.4,H37*F56)),0)</f>
        <v>0</v>
      </c>
      <c r="G213" s="115">
        <f t="shared" si="0"/>
        <v>0</v>
      </c>
      <c r="H213" s="115">
        <f t="shared" si="1"/>
        <v>0</v>
      </c>
      <c r="I213" s="115" t="s">
        <v>2710</v>
      </c>
      <c r="J213" s="115"/>
      <c r="K213" s="115"/>
      <c r="L213" s="115"/>
      <c r="M213" s="115"/>
      <c r="N213" s="115"/>
      <c r="O213" s="115"/>
      <c r="P213" s="115"/>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299"/>
      <c r="AN213" s="299"/>
      <c r="AO213" s="299"/>
      <c r="AP213" s="299"/>
      <c r="AQ213" s="299"/>
      <c r="AR213" s="299"/>
    </row>
    <row r="214" spans="1:44" s="124" customFormat="1" x14ac:dyDescent="0.2">
      <c r="A214" s="123"/>
      <c r="B214" s="115"/>
      <c r="C214" s="115"/>
      <c r="D214" s="115" t="s">
        <v>2582</v>
      </c>
      <c r="E214" s="115"/>
      <c r="F214" s="115">
        <f>IF(AND($H$63&lt;&gt;"Fördertarif",D214=$H$186,G214=0,$H$37&gt;=1,$H$37&lt;=3),270*$H$37,0)</f>
        <v>0</v>
      </c>
      <c r="G214" s="115">
        <f t="shared" si="0"/>
        <v>0</v>
      </c>
      <c r="H214" s="115">
        <f t="shared" si="1"/>
        <v>0</v>
      </c>
      <c r="I214" s="115" t="s">
        <v>1960</v>
      </c>
      <c r="J214" s="115"/>
      <c r="K214" s="115"/>
      <c r="L214" s="115"/>
      <c r="M214" s="115"/>
      <c r="N214" s="115"/>
      <c r="O214" s="115"/>
      <c r="P214" s="115"/>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6" customFormat="1" x14ac:dyDescent="0.2">
      <c r="A215" s="125"/>
      <c r="B215" s="115"/>
      <c r="C215" s="115"/>
      <c r="D215" s="115" t="s">
        <v>871</v>
      </c>
      <c r="E215" s="115"/>
      <c r="F215" s="115">
        <v>0</v>
      </c>
      <c r="G215" s="115">
        <f t="shared" si="0"/>
        <v>0</v>
      </c>
      <c r="H215" s="115">
        <f t="shared" si="1"/>
        <v>0</v>
      </c>
      <c r="I215" s="115" t="s">
        <v>1960</v>
      </c>
      <c r="J215" s="115"/>
      <c r="K215" s="115"/>
      <c r="L215" s="115"/>
      <c r="M215" s="115"/>
      <c r="N215" s="115"/>
      <c r="O215" s="115"/>
      <c r="P215" s="115"/>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2">
      <c r="A216" s="56"/>
      <c r="B216" s="140"/>
      <c r="C216" s="115"/>
      <c r="D216" s="115" t="s">
        <v>1075</v>
      </c>
      <c r="E216" s="115"/>
      <c r="F216" s="115">
        <f>IF(AND($H$63&lt;&gt;"Fördertarif",$H$186=D216,$E$66=$C$203),IF($H$37&gt;5,$F$56*5,$H$37*$F$56),0)</f>
        <v>0</v>
      </c>
      <c r="G216" s="115">
        <f t="shared" si="0"/>
        <v>0</v>
      </c>
      <c r="H216" s="115">
        <f t="shared" si="1"/>
        <v>0</v>
      </c>
      <c r="I216" s="115" t="s">
        <v>1960</v>
      </c>
      <c r="J216" s="115"/>
      <c r="K216" s="115"/>
      <c r="L216" s="115"/>
      <c r="M216" s="115"/>
      <c r="N216" s="115"/>
      <c r="O216" s="115"/>
      <c r="P216" s="115"/>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299"/>
      <c r="AN216" s="299"/>
      <c r="AO216" s="299"/>
      <c r="AP216" s="299"/>
      <c r="AQ216" s="299"/>
      <c r="AR216" s="299"/>
    </row>
    <row r="217" spans="1:44" s="84" customFormat="1" x14ac:dyDescent="0.2">
      <c r="A217" s="56"/>
      <c r="B217" s="140"/>
      <c r="C217" s="115"/>
      <c r="D217" s="115" t="s">
        <v>1264</v>
      </c>
      <c r="E217" s="115"/>
      <c r="F217" s="115">
        <f>IF(AND($H$63=C172,$H$186=D217),IF(H37&lt;=100,IF(H37*F56&gt;H89*0.3,H89*0.3,H37*F56),IF(H37&lt;=500,IF(H37*(F56-50)&gt;H89*0.3,H89*0.3,H37*(F56-50)),100000)),0)</f>
        <v>0</v>
      </c>
      <c r="G217" s="115">
        <f t="shared" si="0"/>
        <v>0</v>
      </c>
      <c r="H217" s="115">
        <f t="shared" si="1"/>
        <v>0</v>
      </c>
      <c r="I217" s="115" t="s">
        <v>2716</v>
      </c>
      <c r="J217" s="115"/>
      <c r="K217" s="115"/>
      <c r="L217" s="115"/>
      <c r="M217" s="115"/>
      <c r="N217" s="115"/>
      <c r="O217" s="115"/>
      <c r="P217" s="115" t="e">
        <f>IF(H37&lt;=5,F56*0.5*H37,F56*0.5*5+((H37-5)*F56))</f>
        <v>#VALUE!</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299"/>
      <c r="AN217" s="299"/>
      <c r="AO217" s="299"/>
      <c r="AP217" s="299"/>
      <c r="AQ217" s="299"/>
      <c r="AR217" s="299"/>
    </row>
    <row r="218" spans="1:44" x14ac:dyDescent="0.2">
      <c r="A218" s="61"/>
      <c r="B218" s="140"/>
      <c r="C218" s="115"/>
      <c r="D218" s="115"/>
      <c r="E218" s="115"/>
      <c r="F218" s="118">
        <f>SUM(F209:F217)</f>
        <v>0</v>
      </c>
      <c r="G218" s="118">
        <f>IF(C57=C196,SUM(G209:G217)*1.3,IF(C57=C197,SUM(G209:G217)*0.75,SUM(G209:G217)))</f>
        <v>5250</v>
      </c>
      <c r="H218" s="118">
        <f>SUM(H209:H217)</f>
        <v>0</v>
      </c>
      <c r="I218" s="118">
        <f>F218+G218+H218</f>
        <v>5250</v>
      </c>
      <c r="J218" s="115" t="s">
        <v>2363</v>
      </c>
      <c r="K218" s="115"/>
      <c r="L218" s="115"/>
      <c r="M218" s="115"/>
      <c r="N218" s="115"/>
      <c r="O218" s="115"/>
      <c r="P218" s="115"/>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299"/>
      <c r="AN218" s="299"/>
      <c r="AO218" s="299"/>
      <c r="AP218" s="299"/>
      <c r="AQ218" s="299"/>
      <c r="AR218" s="299"/>
    </row>
    <row r="219" spans="1:44" x14ac:dyDescent="0.2">
      <c r="A219" s="61"/>
      <c r="B219" s="140"/>
      <c r="C219" s="115"/>
      <c r="D219" s="115"/>
      <c r="E219" s="115"/>
      <c r="F219" s="115"/>
      <c r="G219" s="115"/>
      <c r="H219" s="115"/>
      <c r="I219" s="115"/>
      <c r="J219" s="115"/>
      <c r="K219" s="115"/>
      <c r="L219" s="115"/>
      <c r="M219" s="115"/>
      <c r="N219" s="115"/>
      <c r="O219" s="115"/>
      <c r="P219" s="115"/>
      <c r="Q219" s="115"/>
      <c r="R219" s="115"/>
      <c r="S219" s="115"/>
      <c r="T219" s="115"/>
      <c r="U219" s="115"/>
      <c r="V219" s="115"/>
      <c r="W219" s="115" t="s">
        <v>2603</v>
      </c>
      <c r="X219" s="115"/>
      <c r="Y219" s="115"/>
      <c r="Z219" s="116" t="s">
        <v>2604</v>
      </c>
      <c r="AA219" s="116" t="s">
        <v>2605</v>
      </c>
      <c r="AB219" s="116"/>
      <c r="AC219" s="116"/>
      <c r="AD219" s="116"/>
      <c r="AE219" s="116"/>
      <c r="AF219" s="116"/>
      <c r="AG219" s="116"/>
      <c r="AH219" s="116"/>
      <c r="AI219" s="116"/>
      <c r="AJ219" s="116"/>
      <c r="AK219" s="116"/>
      <c r="AL219" s="116"/>
      <c r="AM219" s="299"/>
      <c r="AN219" s="299"/>
      <c r="AO219" s="299"/>
      <c r="AP219" s="299"/>
      <c r="AQ219" s="299"/>
      <c r="AR219" s="299"/>
    </row>
    <row r="220" spans="1:44" x14ac:dyDescent="0.2">
      <c r="A220" s="61"/>
      <c r="B220" s="140"/>
      <c r="C220" s="115"/>
      <c r="D220" s="115"/>
      <c r="E220" s="115"/>
      <c r="F220" s="115"/>
      <c r="G220" s="466">
        <f>I218/H89</f>
        <v>0.2</v>
      </c>
      <c r="H220" s="115" t="s">
        <v>2362</v>
      </c>
      <c r="I220" s="115"/>
      <c r="J220" s="115"/>
      <c r="K220" s="115"/>
      <c r="L220" s="115"/>
      <c r="M220" s="115"/>
      <c r="N220" s="115"/>
      <c r="O220" s="115"/>
      <c r="P220" s="115"/>
      <c r="Q220" s="115"/>
      <c r="R220" s="115"/>
      <c r="S220" s="467"/>
      <c r="T220" s="115"/>
      <c r="U220" s="115"/>
      <c r="V220" s="115"/>
      <c r="W220" s="463">
        <f>H89*0.4</f>
        <v>10500</v>
      </c>
      <c r="X220" s="115"/>
      <c r="Y220" s="115"/>
      <c r="Z220" s="116" t="e">
        <f>S220/U221</f>
        <v>#DIV/0!</v>
      </c>
      <c r="AA220" s="422" t="e">
        <f>U220/U221</f>
        <v>#DIV/0!</v>
      </c>
      <c r="AB220" s="116"/>
      <c r="AC220" s="116"/>
      <c r="AD220" s="116"/>
      <c r="AE220" s="116"/>
      <c r="AF220" s="116"/>
      <c r="AG220" s="116"/>
      <c r="AH220" s="116"/>
      <c r="AI220" s="116"/>
      <c r="AJ220" s="116"/>
      <c r="AK220" s="116"/>
      <c r="AL220" s="116"/>
      <c r="AM220" s="299"/>
      <c r="AN220" s="299"/>
      <c r="AO220" s="299"/>
      <c r="AP220" s="299"/>
      <c r="AQ220" s="299"/>
      <c r="AR220" s="299"/>
    </row>
    <row r="221" spans="1:44" x14ac:dyDescent="0.2">
      <c r="A221" s="61"/>
      <c r="B221" s="140"/>
      <c r="C221" s="115"/>
      <c r="D221" s="115"/>
      <c r="E221" s="115"/>
      <c r="F221" s="115"/>
      <c r="G221" s="115"/>
      <c r="H221" s="115"/>
      <c r="I221" s="115"/>
      <c r="J221" s="115"/>
      <c r="K221" s="115"/>
      <c r="L221" s="115"/>
      <c r="M221" s="115"/>
      <c r="N221" s="115"/>
      <c r="O221" s="115"/>
      <c r="P221" s="115"/>
      <c r="Q221" s="115"/>
      <c r="R221" s="115"/>
      <c r="S221" s="115"/>
      <c r="T221" s="115"/>
      <c r="U221" s="467"/>
      <c r="V221" s="115"/>
      <c r="W221" s="115">
        <f>IF(W220&gt;=U221,0,U221-W220)</f>
        <v>0</v>
      </c>
      <c r="X221" s="115"/>
      <c r="Y221" s="115"/>
      <c r="Z221" s="116"/>
      <c r="AA221" s="116"/>
      <c r="AB221" s="116"/>
      <c r="AC221" s="116"/>
      <c r="AD221" s="116"/>
      <c r="AE221" s="116"/>
      <c r="AF221" s="116"/>
      <c r="AG221" s="116"/>
      <c r="AH221" s="116"/>
      <c r="AI221" s="116"/>
      <c r="AJ221" s="116"/>
      <c r="AK221" s="116"/>
      <c r="AL221" s="116"/>
      <c r="AM221" s="299"/>
      <c r="AN221" s="299"/>
      <c r="AO221" s="299"/>
      <c r="AP221" s="299"/>
      <c r="AQ221" s="299"/>
      <c r="AR221" s="299"/>
    </row>
    <row r="222" spans="1:44" x14ac:dyDescent="0.2">
      <c r="A222" s="61"/>
      <c r="B222" s="140"/>
      <c r="C222" s="115" t="s">
        <v>2651</v>
      </c>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299"/>
      <c r="AN222" s="299"/>
      <c r="AO222" s="299"/>
      <c r="AP222" s="299"/>
      <c r="AQ222" s="299"/>
      <c r="AR222" s="299"/>
    </row>
    <row r="223" spans="1:44" x14ac:dyDescent="0.2">
      <c r="A223" s="61"/>
      <c r="B223" s="140"/>
      <c r="C223" s="115" t="s">
        <v>899</v>
      </c>
      <c r="D223" s="115"/>
      <c r="E223" s="115"/>
      <c r="F223" s="115"/>
      <c r="G223" s="115"/>
      <c r="H223" s="115"/>
      <c r="I223" s="115"/>
      <c r="J223" s="115"/>
      <c r="K223" s="115"/>
      <c r="L223" s="115"/>
      <c r="M223" s="115"/>
      <c r="N223" s="115"/>
      <c r="O223" s="115"/>
      <c r="P223" s="115"/>
      <c r="Q223" s="115"/>
      <c r="R223" s="115"/>
      <c r="S223" s="467"/>
      <c r="T223" s="115"/>
      <c r="U223" s="467"/>
      <c r="V223" s="115"/>
      <c r="W223" s="467">
        <f>S223+U223</f>
        <v>0</v>
      </c>
      <c r="X223" s="115"/>
      <c r="Y223" s="115"/>
      <c r="Z223" s="116"/>
      <c r="AA223" s="116"/>
      <c r="AB223" s="116"/>
      <c r="AC223" s="116"/>
      <c r="AD223" s="116"/>
      <c r="AE223" s="116"/>
      <c r="AF223" s="116"/>
      <c r="AG223" s="116"/>
      <c r="AH223" s="116"/>
      <c r="AI223" s="116"/>
      <c r="AJ223" s="116"/>
      <c r="AK223" s="116"/>
      <c r="AL223" s="116"/>
      <c r="AM223" s="299"/>
      <c r="AN223" s="299"/>
      <c r="AO223" s="299"/>
      <c r="AP223" s="299"/>
      <c r="AQ223" s="299"/>
      <c r="AR223" s="299"/>
    </row>
    <row r="224" spans="1:44" x14ac:dyDescent="0.2">
      <c r="A224" s="61"/>
      <c r="B224" s="140"/>
      <c r="C224" s="115" t="s">
        <v>465</v>
      </c>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299"/>
      <c r="AN224" s="299"/>
      <c r="AO224" s="299"/>
      <c r="AP224" s="299"/>
      <c r="AQ224" s="299"/>
      <c r="AR224" s="299"/>
    </row>
    <row r="225" spans="1:45" x14ac:dyDescent="0.2">
      <c r="A225" s="61"/>
      <c r="B225" s="140"/>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299"/>
      <c r="AN225" s="299"/>
      <c r="AO225" s="299"/>
      <c r="AP225" s="299"/>
      <c r="AQ225" s="299"/>
      <c r="AR225" s="299"/>
      <c r="AS225" s="103"/>
    </row>
    <row r="226" spans="1:45" x14ac:dyDescent="0.2">
      <c r="A226" s="61"/>
      <c r="B226" s="140"/>
      <c r="C226" s="115"/>
      <c r="D226" s="115"/>
      <c r="E226" s="115"/>
      <c r="F226" s="115"/>
      <c r="G226" s="115"/>
      <c r="H226" s="118"/>
      <c r="I226" s="115"/>
      <c r="J226" s="115"/>
      <c r="K226" s="115"/>
      <c r="L226" s="115"/>
      <c r="M226" s="118"/>
      <c r="N226" s="115"/>
      <c r="O226" s="115"/>
      <c r="P226" s="115"/>
      <c r="Q226" s="115"/>
      <c r="R226" s="115"/>
      <c r="S226" s="115"/>
      <c r="T226" s="115"/>
      <c r="U226" s="115"/>
      <c r="V226" s="115"/>
      <c r="W226" s="115"/>
      <c r="X226" s="115"/>
      <c r="Y226" s="115"/>
      <c r="Z226" s="116"/>
      <c r="AA226" s="116" t="s">
        <v>2700</v>
      </c>
      <c r="AB226" s="116"/>
      <c r="AC226" s="116"/>
      <c r="AD226" s="116"/>
      <c r="AE226" s="116"/>
      <c r="AF226" s="116"/>
      <c r="AG226" s="116"/>
      <c r="AH226" s="116"/>
      <c r="AI226" s="116"/>
      <c r="AJ226" s="116"/>
      <c r="AK226" s="116"/>
      <c r="AL226" s="116"/>
      <c r="AM226" s="299"/>
      <c r="AN226" s="299"/>
      <c r="AO226" s="299"/>
      <c r="AP226" s="299"/>
      <c r="AQ226" s="299"/>
      <c r="AR226" s="299"/>
      <c r="AS226" s="103"/>
    </row>
    <row r="227" spans="1:45" x14ac:dyDescent="0.2">
      <c r="A227" s="61"/>
      <c r="B227" s="140"/>
      <c r="C227" s="115"/>
      <c r="D227" s="115"/>
      <c r="E227" s="115"/>
      <c r="F227" s="115"/>
      <c r="G227" s="115"/>
      <c r="H227" s="118"/>
      <c r="I227" s="115"/>
      <c r="J227" s="115"/>
      <c r="K227" s="115"/>
      <c r="L227" s="115"/>
      <c r="M227" s="118"/>
      <c r="N227" s="115"/>
      <c r="O227" s="115"/>
      <c r="P227" s="115"/>
      <c r="Q227" s="115"/>
      <c r="R227" s="115"/>
      <c r="S227" s="115"/>
      <c r="T227" s="115"/>
      <c r="U227" s="115"/>
      <c r="V227" s="115"/>
      <c r="W227" s="115"/>
      <c r="X227" s="115"/>
      <c r="Y227" s="115"/>
      <c r="Z227" s="116"/>
      <c r="AA227" s="116" t="s">
        <v>2637</v>
      </c>
      <c r="AB227" s="116"/>
      <c r="AC227" s="116"/>
      <c r="AD227" s="116"/>
      <c r="AE227" s="116"/>
      <c r="AF227" s="116"/>
      <c r="AG227" s="116"/>
      <c r="AH227" s="116"/>
      <c r="AI227" s="116"/>
      <c r="AJ227" s="116"/>
      <c r="AK227" s="116"/>
      <c r="AL227" s="116"/>
      <c r="AM227" s="299"/>
      <c r="AN227" s="299"/>
      <c r="AO227" s="299"/>
      <c r="AP227" s="299"/>
      <c r="AQ227" s="299"/>
      <c r="AR227" s="299"/>
      <c r="AS227" s="103"/>
    </row>
    <row r="228" spans="1:45" x14ac:dyDescent="0.2">
      <c r="A228" s="61"/>
      <c r="B228" s="140"/>
      <c r="C228" s="115"/>
      <c r="D228" s="115"/>
      <c r="E228" s="115"/>
      <c r="F228" s="115"/>
      <c r="G228" s="115"/>
      <c r="H228" s="118"/>
      <c r="I228" s="115"/>
      <c r="J228" s="115"/>
      <c r="K228" s="115"/>
      <c r="L228" s="115"/>
      <c r="M228" s="118"/>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299"/>
      <c r="AN228" s="299"/>
      <c r="AO228" s="299"/>
      <c r="AP228" s="299"/>
      <c r="AQ228" s="299"/>
      <c r="AR228" s="299"/>
      <c r="AS228" s="103"/>
    </row>
    <row r="229" spans="1:45" x14ac:dyDescent="0.2">
      <c r="A229" s="61"/>
      <c r="B229" s="140"/>
      <c r="C229" s="115"/>
      <c r="D229" s="115"/>
      <c r="E229" s="115"/>
      <c r="F229" s="115"/>
      <c r="G229" s="115"/>
      <c r="H229" s="118"/>
      <c r="I229" s="115"/>
      <c r="J229" s="115"/>
      <c r="K229" s="115"/>
      <c r="L229" s="115"/>
      <c r="M229" s="118"/>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299"/>
      <c r="AN229" s="299"/>
      <c r="AO229" s="299"/>
      <c r="AP229" s="299"/>
      <c r="AQ229" s="299"/>
      <c r="AR229" s="299"/>
      <c r="AS229" s="103"/>
    </row>
    <row r="230" spans="1:45" x14ac:dyDescent="0.2">
      <c r="A230" s="61"/>
      <c r="B230" s="140"/>
      <c r="C230" s="115"/>
      <c r="D230" s="115" t="s">
        <v>2611</v>
      </c>
      <c r="E230" s="115"/>
      <c r="F230" s="115" t="s">
        <v>2565</v>
      </c>
      <c r="G230" s="115"/>
      <c r="H230" s="118" t="s">
        <v>2566</v>
      </c>
      <c r="I230" s="115"/>
      <c r="J230" s="115" t="s">
        <v>2567</v>
      </c>
      <c r="K230" s="115"/>
      <c r="L230" s="115"/>
      <c r="M230" s="118"/>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299"/>
      <c r="AN230" s="299"/>
      <c r="AO230" s="299"/>
      <c r="AP230" s="299"/>
      <c r="AQ230" s="299"/>
      <c r="AR230" s="299"/>
      <c r="AS230" s="103"/>
    </row>
    <row r="231" spans="1:45" x14ac:dyDescent="0.2">
      <c r="A231" s="61"/>
      <c r="B231" s="140"/>
      <c r="C231" s="117" t="s">
        <v>2563</v>
      </c>
      <c r="D231" s="468" t="s">
        <v>2564</v>
      </c>
      <c r="E231" s="469" t="s">
        <v>825</v>
      </c>
      <c r="F231" s="468" t="s">
        <v>2564</v>
      </c>
      <c r="G231" s="469" t="s">
        <v>825</v>
      </c>
      <c r="H231" s="468" t="s">
        <v>2564</v>
      </c>
      <c r="I231" s="469" t="s">
        <v>825</v>
      </c>
      <c r="J231" s="468" t="s">
        <v>2564</v>
      </c>
      <c r="K231" s="117"/>
      <c r="L231" s="117"/>
      <c r="M231" s="470"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299"/>
      <c r="AN231" s="299"/>
      <c r="AO231" s="299"/>
      <c r="AP231" s="299"/>
      <c r="AQ231" s="299"/>
      <c r="AR231" s="299"/>
      <c r="AS231" s="103"/>
    </row>
    <row r="232" spans="1:45" x14ac:dyDescent="0.2">
      <c r="A232" s="61"/>
      <c r="B232" s="140"/>
      <c r="C232" s="115"/>
      <c r="D232" s="115"/>
      <c r="E232" s="115"/>
      <c r="F232" s="115"/>
      <c r="G232" s="115"/>
      <c r="H232" s="118"/>
      <c r="I232" s="115"/>
      <c r="J232" s="115"/>
      <c r="K232" s="115"/>
      <c r="L232" s="115"/>
      <c r="M232" s="118"/>
      <c r="N232" s="115"/>
      <c r="O232" s="115"/>
      <c r="P232" s="115"/>
      <c r="Q232" s="115"/>
      <c r="R232" s="115"/>
      <c r="S232" s="115"/>
      <c r="T232" s="115"/>
      <c r="U232" s="115"/>
      <c r="V232" s="115"/>
      <c r="W232" s="115" t="s">
        <v>2658</v>
      </c>
      <c r="X232" s="495" t="s">
        <v>2637</v>
      </c>
      <c r="Y232" s="495"/>
      <c r="Z232" s="495" t="s">
        <v>2700</v>
      </c>
      <c r="AA232" s="495"/>
      <c r="AB232" s="116"/>
      <c r="AC232" s="116"/>
      <c r="AD232" s="116"/>
      <c r="AE232" s="116"/>
      <c r="AF232" s="116"/>
      <c r="AG232" s="116"/>
      <c r="AH232" s="116"/>
      <c r="AI232" s="116"/>
      <c r="AJ232" s="116"/>
      <c r="AK232" s="116"/>
      <c r="AL232" s="116"/>
      <c r="AM232" s="299"/>
      <c r="AN232" s="299"/>
      <c r="AO232" s="299"/>
      <c r="AP232" s="299"/>
      <c r="AQ232" s="299"/>
      <c r="AR232" s="299"/>
      <c r="AS232" s="103"/>
    </row>
    <row r="233" spans="1:45" x14ac:dyDescent="0.2">
      <c r="A233" s="61"/>
      <c r="B233" s="140"/>
      <c r="C233" s="469">
        <v>2013</v>
      </c>
      <c r="D233" s="115">
        <v>0</v>
      </c>
      <c r="E233" s="115">
        <v>7.0599999999999996E-2</v>
      </c>
      <c r="F233" s="115">
        <v>0</v>
      </c>
      <c r="G233" s="119">
        <v>0</v>
      </c>
      <c r="H233" s="118">
        <v>0</v>
      </c>
      <c r="I233" s="119">
        <v>0</v>
      </c>
      <c r="J233" s="115">
        <v>0</v>
      </c>
      <c r="K233" s="115"/>
      <c r="L233" s="115"/>
      <c r="M233" s="447">
        <v>0.19</v>
      </c>
      <c r="N233" s="115"/>
      <c r="O233" s="115"/>
      <c r="P233" s="115"/>
      <c r="Q233" s="115"/>
      <c r="R233" s="115"/>
      <c r="S233" s="115"/>
      <c r="T233" s="115"/>
      <c r="U233" s="115"/>
      <c r="V233" s="115"/>
      <c r="W233" s="115" t="s">
        <v>2166</v>
      </c>
      <c r="X233" s="395" t="s">
        <v>2701</v>
      </c>
      <c r="Y233" s="395" t="s">
        <v>1333</v>
      </c>
      <c r="Z233" s="395" t="s">
        <v>2701</v>
      </c>
      <c r="AA233" s="395" t="s">
        <v>1333</v>
      </c>
      <c r="AB233" s="116"/>
      <c r="AC233" s="116"/>
      <c r="AD233" s="116"/>
      <c r="AE233" s="116"/>
      <c r="AF233" s="116"/>
      <c r="AG233" s="116"/>
      <c r="AH233" s="116"/>
      <c r="AI233" s="116"/>
      <c r="AJ233" s="116"/>
      <c r="AK233" s="116"/>
      <c r="AL233" s="116"/>
      <c r="AM233" s="299"/>
      <c r="AN233" s="299"/>
      <c r="AO233" s="299"/>
      <c r="AP233" s="299"/>
      <c r="AQ233" s="299"/>
      <c r="AR233" s="299"/>
      <c r="AS233" s="103"/>
    </row>
    <row r="234" spans="1:45" x14ac:dyDescent="0.2">
      <c r="A234" s="61"/>
      <c r="B234" s="140"/>
      <c r="C234" s="469"/>
      <c r="D234" s="115"/>
      <c r="E234" s="115"/>
      <c r="F234" s="115"/>
      <c r="G234" s="115"/>
      <c r="H234" s="118"/>
      <c r="I234" s="115"/>
      <c r="J234" s="115"/>
      <c r="K234" s="115"/>
      <c r="L234" s="115"/>
      <c r="M234" s="447"/>
      <c r="N234" s="115"/>
      <c r="O234" s="115"/>
      <c r="P234" s="115"/>
      <c r="Q234" s="115"/>
      <c r="R234" s="115"/>
      <c r="S234" s="115"/>
      <c r="T234" s="115"/>
      <c r="U234" s="115"/>
      <c r="V234" s="115"/>
      <c r="W234" s="115">
        <v>1.5</v>
      </c>
      <c r="X234" s="115">
        <f t="shared" ref="X234:X261" si="2">55*(W234/0.5)</f>
        <v>165</v>
      </c>
      <c r="Y234" s="115">
        <f>535+Y230</f>
        <v>910</v>
      </c>
      <c r="Z234" s="115">
        <f>55*(W234/0.5)</f>
        <v>165</v>
      </c>
      <c r="AA234" s="115">
        <f>535+Y230</f>
        <v>910</v>
      </c>
      <c r="AB234" s="116"/>
      <c r="AC234" s="116" t="s">
        <v>2664</v>
      </c>
      <c r="AD234" s="116" t="s">
        <v>2665</v>
      </c>
      <c r="AE234" s="116" t="s">
        <v>2666</v>
      </c>
      <c r="AF234" s="116" t="s">
        <v>2667</v>
      </c>
      <c r="AG234" s="116" t="s">
        <v>2668</v>
      </c>
      <c r="AH234" s="116" t="s">
        <v>2669</v>
      </c>
      <c r="AI234" s="116" t="s">
        <v>2670</v>
      </c>
      <c r="AJ234" s="116" t="s">
        <v>2671</v>
      </c>
      <c r="AK234" s="116" t="s">
        <v>2672</v>
      </c>
      <c r="AL234" s="116" t="s">
        <v>2673</v>
      </c>
      <c r="AM234" s="299" t="s">
        <v>2674</v>
      </c>
      <c r="AN234" s="299" t="s">
        <v>2675</v>
      </c>
      <c r="AO234" s="299" t="s">
        <v>2676</v>
      </c>
      <c r="AP234" s="299" t="s">
        <v>2677</v>
      </c>
      <c r="AQ234" s="299" t="s">
        <v>2678</v>
      </c>
      <c r="AR234" s="299" t="s">
        <v>1622</v>
      </c>
      <c r="AS234" s="103"/>
    </row>
    <row r="235" spans="1:45" x14ac:dyDescent="0.2">
      <c r="A235" s="61"/>
      <c r="B235" s="140"/>
      <c r="C235" s="469"/>
      <c r="D235" s="115"/>
      <c r="E235" s="115"/>
      <c r="F235" s="115"/>
      <c r="G235" s="447"/>
      <c r="H235" s="118"/>
      <c r="I235" s="115"/>
      <c r="J235" s="115"/>
      <c r="K235" s="115"/>
      <c r="L235" s="115"/>
      <c r="M235" s="447"/>
      <c r="N235" s="115"/>
      <c r="O235" s="115"/>
      <c r="P235" s="115"/>
      <c r="Q235" s="115"/>
      <c r="R235" s="115"/>
      <c r="S235" s="115"/>
      <c r="T235" s="115"/>
      <c r="U235" s="115"/>
      <c r="V235" s="119">
        <f>H37</f>
        <v>15</v>
      </c>
      <c r="W235" s="115">
        <v>2</v>
      </c>
      <c r="X235" s="115">
        <f t="shared" si="2"/>
        <v>220</v>
      </c>
      <c r="Y235" s="120">
        <f>590+Y230</f>
        <v>965</v>
      </c>
      <c r="Z235" s="115">
        <f>55*(W235/0.5)</f>
        <v>220</v>
      </c>
      <c r="AA235" s="120">
        <f>590+Y230</f>
        <v>965</v>
      </c>
      <c r="AB235" s="116"/>
      <c r="AC235" s="116" t="s">
        <v>2679</v>
      </c>
      <c r="AD235" s="116" t="s">
        <v>2680</v>
      </c>
      <c r="AE235" s="116" t="s">
        <v>2681</v>
      </c>
      <c r="AF235" s="116">
        <v>2</v>
      </c>
      <c r="AG235" s="116" t="s">
        <v>2682</v>
      </c>
      <c r="AH235" s="116" t="s">
        <v>2683</v>
      </c>
      <c r="AI235" s="116" t="s">
        <v>2679</v>
      </c>
      <c r="AJ235" s="116" t="s">
        <v>2684</v>
      </c>
      <c r="AK235" s="116" t="s">
        <v>2685</v>
      </c>
      <c r="AL235" s="415">
        <v>42038</v>
      </c>
      <c r="AM235" s="299"/>
      <c r="AN235" s="299"/>
      <c r="AO235" s="299"/>
      <c r="AP235" s="299"/>
      <c r="AQ235" s="299"/>
      <c r="AR235" s="299"/>
      <c r="AS235" s="103"/>
    </row>
    <row r="236" spans="1:45" x14ac:dyDescent="0.2">
      <c r="A236" s="61"/>
      <c r="B236" s="140"/>
      <c r="C236" s="469"/>
      <c r="D236" s="115"/>
      <c r="E236" s="115"/>
      <c r="F236" s="115"/>
      <c r="G236" s="115"/>
      <c r="H236" s="118"/>
      <c r="I236" s="115"/>
      <c r="J236" s="115"/>
      <c r="K236" s="115"/>
      <c r="L236" s="115"/>
      <c r="M236" s="447"/>
      <c r="N236" s="115"/>
      <c r="O236" s="115"/>
      <c r="P236" s="115"/>
      <c r="Q236" s="115"/>
      <c r="R236" s="115"/>
      <c r="S236" s="115"/>
      <c r="T236" s="115"/>
      <c r="U236" s="115"/>
      <c r="V236" s="119">
        <f>ROUNDDOWN(V235,0)</f>
        <v>15</v>
      </c>
      <c r="W236" s="115">
        <v>2.5</v>
      </c>
      <c r="X236" s="115">
        <f t="shared" si="2"/>
        <v>275</v>
      </c>
      <c r="Y236" s="120">
        <f>645+Y230</f>
        <v>1020</v>
      </c>
      <c r="Z236" s="115">
        <f>55*(W236/0.5)</f>
        <v>275</v>
      </c>
      <c r="AA236" s="120">
        <f>645+Y230</f>
        <v>1020</v>
      </c>
      <c r="AB236" s="116"/>
      <c r="AC236" s="116" t="s">
        <v>2686</v>
      </c>
      <c r="AD236" s="116">
        <v>0.5</v>
      </c>
      <c r="AE236" s="116" t="s">
        <v>2687</v>
      </c>
      <c r="AF236" s="116"/>
      <c r="AG236" s="116"/>
      <c r="AH236" s="116"/>
      <c r="AI236" s="116"/>
      <c r="AJ236" s="116"/>
      <c r="AK236" s="116"/>
      <c r="AL236" s="116"/>
      <c r="AM236" s="299"/>
      <c r="AN236" s="299"/>
      <c r="AO236" s="299"/>
      <c r="AP236" s="299"/>
      <c r="AQ236" s="299"/>
      <c r="AR236" s="299"/>
      <c r="AS236" s="103"/>
    </row>
    <row r="237" spans="1:45" x14ac:dyDescent="0.2">
      <c r="A237" s="61"/>
      <c r="B237" s="140"/>
      <c r="C237" s="469"/>
      <c r="D237" s="115"/>
      <c r="E237" s="115"/>
      <c r="F237" s="115"/>
      <c r="G237" s="447"/>
      <c r="H237" s="118"/>
      <c r="I237" s="115"/>
      <c r="J237" s="115"/>
      <c r="K237" s="115"/>
      <c r="L237" s="115"/>
      <c r="M237" s="447"/>
      <c r="N237" s="115"/>
      <c r="O237" s="115"/>
      <c r="P237" s="115"/>
      <c r="Q237" s="115"/>
      <c r="R237" s="115"/>
      <c r="S237" s="115"/>
      <c r="T237" s="115"/>
      <c r="U237" s="115"/>
      <c r="V237" s="119">
        <f>V235-V236</f>
        <v>0</v>
      </c>
      <c r="W237" s="115">
        <v>3</v>
      </c>
      <c r="X237" s="115">
        <f t="shared" si="2"/>
        <v>330</v>
      </c>
      <c r="Y237" s="423">
        <f>700+Y230</f>
        <v>1075</v>
      </c>
      <c r="Z237" s="115">
        <f>55*(W237/0.5)</f>
        <v>330</v>
      </c>
      <c r="AA237" s="423">
        <f>700+Y230</f>
        <v>1075</v>
      </c>
      <c r="AB237" s="116"/>
      <c r="AC237" s="116" t="s">
        <v>2659</v>
      </c>
      <c r="AD237" s="116"/>
      <c r="AE237" s="116"/>
      <c r="AF237" s="116"/>
      <c r="AG237" s="116"/>
      <c r="AH237" s="116"/>
      <c r="AI237" s="116"/>
      <c r="AJ237" s="116"/>
      <c r="AK237" s="116"/>
      <c r="AL237" s="116"/>
      <c r="AM237" s="299"/>
      <c r="AN237" s="299"/>
      <c r="AO237" s="299"/>
      <c r="AP237" s="299"/>
      <c r="AQ237" s="299"/>
      <c r="AR237" s="299"/>
      <c r="AS237" s="103"/>
    </row>
    <row r="238" spans="1:45" x14ac:dyDescent="0.2">
      <c r="A238" s="61"/>
      <c r="B238" s="140"/>
      <c r="C238" s="115"/>
      <c r="D238" s="115"/>
      <c r="E238" s="115"/>
      <c r="F238" s="115"/>
      <c r="G238" s="115"/>
      <c r="H238" s="118"/>
      <c r="I238" s="115"/>
      <c r="J238" s="115"/>
      <c r="K238" s="115"/>
      <c r="L238" s="115"/>
      <c r="M238" s="118"/>
      <c r="N238" s="115"/>
      <c r="O238" s="115"/>
      <c r="P238" s="115"/>
      <c r="Q238" s="115"/>
      <c r="R238" s="115"/>
      <c r="S238" s="115"/>
      <c r="T238" s="115"/>
      <c r="U238" s="115"/>
      <c r="V238" s="115">
        <f>IF(V237&gt;=0.5,V236+0.5,V236)</f>
        <v>15</v>
      </c>
      <c r="W238" s="115">
        <v>3.5</v>
      </c>
      <c r="X238" s="115">
        <f t="shared" si="2"/>
        <v>385</v>
      </c>
      <c r="Y238" s="120">
        <f>Y237+55</f>
        <v>1130</v>
      </c>
      <c r="Z238" s="115"/>
      <c r="AA238" s="120"/>
      <c r="AB238" s="116"/>
      <c r="AC238" s="116">
        <v>1.5</v>
      </c>
      <c r="AD238" s="116" t="s">
        <v>2688</v>
      </c>
      <c r="AE238" s="116"/>
      <c r="AF238" s="116"/>
      <c r="AG238" s="116"/>
      <c r="AH238" s="116"/>
      <c r="AI238" s="116"/>
      <c r="AJ238" s="116"/>
      <c r="AK238" s="116"/>
      <c r="AL238" s="116"/>
      <c r="AM238" s="299"/>
      <c r="AN238" s="299"/>
      <c r="AO238" s="299"/>
      <c r="AP238" s="299"/>
      <c r="AQ238" s="299"/>
      <c r="AR238" s="299"/>
      <c r="AS238" s="103"/>
    </row>
    <row r="239" spans="1:45" s="4" customFormat="1" x14ac:dyDescent="0.2">
      <c r="A239" s="102"/>
      <c r="B239" s="329"/>
      <c r="C239" s="395"/>
      <c r="D239" s="395"/>
      <c r="E239" s="395">
        <f>E233</f>
        <v>7.0599999999999996E-2</v>
      </c>
      <c r="F239" s="395"/>
      <c r="G239" s="471">
        <f>G233</f>
        <v>0</v>
      </c>
      <c r="H239" s="472"/>
      <c r="I239" s="473">
        <f>I233</f>
        <v>0</v>
      </c>
      <c r="J239" s="395"/>
      <c r="K239" s="395"/>
      <c r="L239" s="395"/>
      <c r="M239" s="474">
        <f>M233</f>
        <v>0.19</v>
      </c>
      <c r="N239" s="395">
        <v>0.18</v>
      </c>
      <c r="O239" s="395"/>
      <c r="P239" s="115"/>
      <c r="Q239" s="115"/>
      <c r="R239" s="115"/>
      <c r="S239" s="115"/>
      <c r="T239" s="115"/>
      <c r="U239" s="115">
        <f>IF(F66=AA226,V240,V239)</f>
        <v>2395</v>
      </c>
      <c r="V239" s="395">
        <f>IF(OR(V238&gt;15,H111&lt;900),0,VLOOKUP(V238,W235:Y261,IF(X233=G66,2,3),TRUE))</f>
        <v>2395</v>
      </c>
      <c r="W239" s="115">
        <v>4</v>
      </c>
      <c r="X239" s="115">
        <f t="shared" si="2"/>
        <v>440</v>
      </c>
      <c r="Y239" s="120">
        <f t="shared" ref="Y239:Y261" si="3">Y238+55</f>
        <v>1185</v>
      </c>
      <c r="Z239" s="115"/>
      <c r="AA239" s="120"/>
      <c r="AB239" s="416"/>
      <c r="AC239" s="416" t="s">
        <v>2660</v>
      </c>
      <c r="AD239" s="416"/>
      <c r="AE239" s="416"/>
      <c r="AF239" s="416"/>
      <c r="AG239" s="416"/>
      <c r="AH239" s="416"/>
      <c r="AI239" s="416"/>
      <c r="AJ239" s="416"/>
      <c r="AK239" s="416"/>
      <c r="AL239" s="416"/>
      <c r="AM239" s="417"/>
      <c r="AN239" s="417"/>
      <c r="AO239" s="417"/>
      <c r="AP239" s="417"/>
      <c r="AQ239" s="417"/>
      <c r="AR239" s="417"/>
      <c r="AS239" s="412"/>
    </row>
    <row r="240" spans="1:45" x14ac:dyDescent="0.2">
      <c r="A240" s="61"/>
      <c r="B240" s="140"/>
      <c r="C240" s="115"/>
      <c r="D240" s="115"/>
      <c r="E240" s="447">
        <f>IF(AND($H$37&gt;5,$H$37&lt;=20),E239,IF($H$37&gt;20,G239,0))</f>
        <v>7.0599999999999996E-2</v>
      </c>
      <c r="F240" s="115"/>
      <c r="G240" s="447"/>
      <c r="H240" s="118"/>
      <c r="I240" s="447">
        <f>IF(AND($H$37&gt;5,$H$37&lt;=20),I239,IF($H$37&gt;20,M239,0))</f>
        <v>0</v>
      </c>
      <c r="J240" s="115"/>
      <c r="K240" s="115"/>
      <c r="L240" s="115"/>
      <c r="M240" s="118"/>
      <c r="N240" s="115"/>
      <c r="O240" s="115"/>
      <c r="P240" s="115"/>
      <c r="Q240" s="115"/>
      <c r="R240" s="115"/>
      <c r="S240" s="115"/>
      <c r="T240" s="115"/>
      <c r="U240" s="115"/>
      <c r="V240" s="115">
        <f>IF(OR(V238&gt;15,H111&lt;900),0,VLOOKUP(V238,W235:AA261,IF(X233=G66,4,5),TRUE))</f>
        <v>0</v>
      </c>
      <c r="W240" s="115">
        <v>4.5</v>
      </c>
      <c r="X240" s="115">
        <f t="shared" si="2"/>
        <v>495</v>
      </c>
      <c r="Y240" s="120">
        <f t="shared" si="3"/>
        <v>1240</v>
      </c>
      <c r="Z240" s="115"/>
      <c r="AA240" s="120"/>
      <c r="AB240" s="116"/>
      <c r="AC240" s="116">
        <v>2</v>
      </c>
      <c r="AD240" s="116" t="s">
        <v>2688</v>
      </c>
      <c r="AE240" s="116"/>
      <c r="AF240" s="116"/>
      <c r="AG240" s="116"/>
      <c r="AH240" s="116"/>
      <c r="AI240" s="116"/>
      <c r="AJ240" s="116"/>
      <c r="AK240" s="116"/>
      <c r="AL240" s="116"/>
      <c r="AM240" s="299"/>
      <c r="AN240" s="299"/>
      <c r="AO240" s="299"/>
      <c r="AP240" s="299"/>
      <c r="AQ240" s="299"/>
      <c r="AR240" s="299"/>
      <c r="AS240" s="103"/>
    </row>
    <row r="241" spans="1:45" x14ac:dyDescent="0.2">
      <c r="A241" s="61"/>
      <c r="B241" s="140"/>
      <c r="C241" s="115"/>
      <c r="D241" s="115"/>
      <c r="E241" s="395">
        <f>IF($C$55=C223,E240,I240)</f>
        <v>7.0599999999999996E-2</v>
      </c>
      <c r="F241" s="115"/>
      <c r="G241" s="115"/>
      <c r="H241" s="118"/>
      <c r="I241" s="115"/>
      <c r="J241" s="115"/>
      <c r="K241" s="115"/>
      <c r="L241" s="115"/>
      <c r="M241" s="118"/>
      <c r="N241" s="115"/>
      <c r="O241" s="115"/>
      <c r="P241" s="115"/>
      <c r="Q241" s="115"/>
      <c r="R241" s="115"/>
      <c r="S241" s="115"/>
      <c r="T241" s="115"/>
      <c r="U241" s="115"/>
      <c r="V241" s="115"/>
      <c r="W241" s="115">
        <v>5</v>
      </c>
      <c r="X241" s="115">
        <f t="shared" si="2"/>
        <v>550</v>
      </c>
      <c r="Y241" s="120">
        <f t="shared" si="3"/>
        <v>1295</v>
      </c>
      <c r="Z241" s="115"/>
      <c r="AA241" s="120"/>
      <c r="AB241" s="116"/>
      <c r="AC241" s="116" t="s">
        <v>2661</v>
      </c>
      <c r="AD241" s="116"/>
      <c r="AE241" s="116"/>
      <c r="AF241" s="116"/>
      <c r="AG241" s="116"/>
      <c r="AH241" s="116"/>
      <c r="AI241" s="116"/>
      <c r="AJ241" s="116"/>
      <c r="AK241" s="116"/>
      <c r="AL241" s="116"/>
      <c r="AM241" s="299"/>
      <c r="AN241" s="299"/>
      <c r="AO241" s="299"/>
      <c r="AP241" s="299"/>
      <c r="AQ241" s="299"/>
      <c r="AR241" s="299"/>
      <c r="AS241" s="103"/>
    </row>
    <row r="242" spans="1:45" x14ac:dyDescent="0.2">
      <c r="A242" s="61"/>
      <c r="B242" s="140"/>
      <c r="C242" s="115"/>
      <c r="D242" s="115"/>
      <c r="E242" s="471"/>
      <c r="F242" s="115"/>
      <c r="G242" s="115"/>
      <c r="H242" s="118"/>
      <c r="I242" s="115"/>
      <c r="J242" s="115"/>
      <c r="K242" s="115"/>
      <c r="L242" s="115"/>
      <c r="M242" s="118"/>
      <c r="N242" s="115"/>
      <c r="O242" s="115"/>
      <c r="P242" s="115"/>
      <c r="Q242" s="115"/>
      <c r="R242" s="140"/>
      <c r="S242" s="115"/>
      <c r="T242" s="115"/>
      <c r="U242" s="115"/>
      <c r="V242" s="115"/>
      <c r="W242" s="395">
        <v>5.5</v>
      </c>
      <c r="X242" s="115">
        <f t="shared" si="2"/>
        <v>605</v>
      </c>
      <c r="Y242" s="120">
        <f t="shared" si="3"/>
        <v>1350</v>
      </c>
      <c r="Z242" s="115"/>
      <c r="AA242" s="120"/>
      <c r="AB242" s="116"/>
      <c r="AC242" s="116">
        <v>2.5</v>
      </c>
      <c r="AD242" s="116" t="s">
        <v>2688</v>
      </c>
      <c r="AE242" s="116"/>
      <c r="AF242" s="116"/>
      <c r="AG242" s="116"/>
      <c r="AH242" s="116"/>
      <c r="AI242" s="116"/>
      <c r="AJ242" s="116"/>
      <c r="AK242" s="116"/>
      <c r="AL242" s="116"/>
      <c r="AM242" s="299"/>
      <c r="AN242" s="299"/>
      <c r="AO242" s="299"/>
      <c r="AP242" s="299"/>
      <c r="AQ242" s="299"/>
      <c r="AR242" s="299"/>
      <c r="AS242" s="103"/>
    </row>
    <row r="243" spans="1:45" x14ac:dyDescent="0.2">
      <c r="A243" s="61"/>
      <c r="B243" s="140"/>
      <c r="C243" s="115"/>
      <c r="D243" s="115"/>
      <c r="E243" s="115"/>
      <c r="F243" s="115"/>
      <c r="G243" s="115"/>
      <c r="H243" s="118"/>
      <c r="I243" s="115"/>
      <c r="J243" s="115"/>
      <c r="K243" s="115"/>
      <c r="L243" s="115"/>
      <c r="M243" s="118"/>
      <c r="N243" s="115"/>
      <c r="O243" s="115"/>
      <c r="P243" s="115"/>
      <c r="Q243" s="115"/>
      <c r="R243" s="140"/>
      <c r="S243" s="115"/>
      <c r="T243" s="115"/>
      <c r="U243" s="115"/>
      <c r="V243" s="115"/>
      <c r="W243" s="115">
        <v>6</v>
      </c>
      <c r="X243" s="115">
        <f t="shared" si="2"/>
        <v>660</v>
      </c>
      <c r="Y243" s="120">
        <f t="shared" si="3"/>
        <v>1405</v>
      </c>
      <c r="Z243" s="115"/>
      <c r="AA243" s="120"/>
      <c r="AB243" s="116"/>
      <c r="AC243" s="116" t="s">
        <v>2662</v>
      </c>
      <c r="AD243" s="116"/>
      <c r="AE243" s="116"/>
      <c r="AF243" s="116"/>
      <c r="AG243" s="116"/>
      <c r="AH243" s="116"/>
      <c r="AI243" s="116"/>
      <c r="AJ243" s="116"/>
      <c r="AK243" s="116"/>
      <c r="AL243" s="116"/>
      <c r="AM243" s="299"/>
      <c r="AN243" s="299"/>
      <c r="AO243" s="299"/>
      <c r="AP243" s="299"/>
      <c r="AQ243" s="299"/>
      <c r="AR243" s="299"/>
      <c r="AS243" s="103"/>
    </row>
    <row r="244" spans="1:45" x14ac:dyDescent="0.2">
      <c r="A244" s="61"/>
      <c r="B244" s="140"/>
      <c r="C244" s="115"/>
      <c r="D244" s="115"/>
      <c r="E244" s="115" t="s">
        <v>899</v>
      </c>
      <c r="F244" s="115" t="s">
        <v>465</v>
      </c>
      <c r="G244" s="115"/>
      <c r="H244" s="118"/>
      <c r="I244" s="115"/>
      <c r="J244" s="115"/>
      <c r="K244" s="115"/>
      <c r="L244" s="115"/>
      <c r="M244" s="118"/>
      <c r="N244" s="115"/>
      <c r="O244" s="115"/>
      <c r="P244" s="395"/>
      <c r="Q244" s="395"/>
      <c r="R244" s="140"/>
      <c r="S244" s="115"/>
      <c r="T244" s="115"/>
      <c r="U244" s="115"/>
      <c r="V244" s="395"/>
      <c r="W244" s="115">
        <v>6.5</v>
      </c>
      <c r="X244" s="115">
        <f t="shared" si="2"/>
        <v>715</v>
      </c>
      <c r="Y244" s="120">
        <f t="shared" si="3"/>
        <v>1460</v>
      </c>
      <c r="Z244" s="115"/>
      <c r="AA244" s="120"/>
      <c r="AB244" s="116"/>
      <c r="AC244" s="116">
        <v>3</v>
      </c>
      <c r="AD244" s="116" t="s">
        <v>2688</v>
      </c>
      <c r="AE244" s="116"/>
      <c r="AF244" s="116"/>
      <c r="AG244" s="116"/>
      <c r="AH244" s="116"/>
      <c r="AI244" s="116"/>
      <c r="AJ244" s="116"/>
      <c r="AK244" s="116"/>
      <c r="AL244" s="116"/>
      <c r="AM244" s="299"/>
      <c r="AN244" s="299"/>
      <c r="AO244" s="299"/>
      <c r="AP244" s="299"/>
      <c r="AQ244" s="299"/>
      <c r="AR244" s="299"/>
      <c r="AS244" s="103"/>
    </row>
    <row r="245" spans="1:45" x14ac:dyDescent="0.2">
      <c r="A245" s="61"/>
      <c r="B245" s="140"/>
      <c r="C245" s="115">
        <v>2013</v>
      </c>
      <c r="D245" s="115"/>
      <c r="E245" s="115" t="s">
        <v>2612</v>
      </c>
      <c r="F245" s="115" t="s">
        <v>2612</v>
      </c>
      <c r="G245" s="115"/>
      <c r="H245" s="118"/>
      <c r="I245" s="115"/>
      <c r="J245" s="115"/>
      <c r="K245" s="115"/>
      <c r="L245" s="115"/>
      <c r="M245" s="118"/>
      <c r="N245" s="115"/>
      <c r="O245" s="115"/>
      <c r="P245" s="115"/>
      <c r="Q245" s="115"/>
      <c r="R245" s="140"/>
      <c r="S245" s="115"/>
      <c r="T245" s="115"/>
      <c r="U245" s="115"/>
      <c r="V245" s="115"/>
      <c r="W245" s="115">
        <v>7</v>
      </c>
      <c r="X245" s="115">
        <f t="shared" si="2"/>
        <v>770</v>
      </c>
      <c r="Y245" s="120">
        <f t="shared" si="3"/>
        <v>1515</v>
      </c>
      <c r="Z245" s="115"/>
      <c r="AA245" s="120"/>
      <c r="AB245" s="116"/>
      <c r="AC245" s="116" t="s">
        <v>2663</v>
      </c>
      <c r="AD245" s="116"/>
      <c r="AE245" s="116"/>
      <c r="AF245" s="116"/>
      <c r="AG245" s="116"/>
      <c r="AH245" s="116"/>
      <c r="AI245" s="116"/>
      <c r="AJ245" s="116"/>
      <c r="AK245" s="116"/>
      <c r="AL245" s="116"/>
      <c r="AM245" s="299"/>
      <c r="AN245" s="299"/>
      <c r="AO245" s="299"/>
      <c r="AP245" s="299"/>
      <c r="AQ245" s="299"/>
      <c r="AR245" s="299"/>
      <c r="AS245" s="103"/>
    </row>
    <row r="246" spans="1:45" x14ac:dyDescent="0.2">
      <c r="B246" s="299"/>
      <c r="C246" s="115"/>
      <c r="D246" s="115"/>
      <c r="E246" s="115">
        <v>0.1812</v>
      </c>
      <c r="F246" s="115">
        <v>0.16589999999999999</v>
      </c>
      <c r="G246" s="115"/>
      <c r="H246" s="118"/>
      <c r="I246" s="115"/>
      <c r="J246" s="115"/>
      <c r="K246" s="115"/>
      <c r="L246" s="115"/>
      <c r="M246" s="118"/>
      <c r="N246" s="115"/>
      <c r="O246" s="115"/>
      <c r="P246" s="115"/>
      <c r="Q246" s="115"/>
      <c r="R246" s="140"/>
      <c r="S246" s="395"/>
      <c r="T246" s="395"/>
      <c r="U246" s="395"/>
      <c r="V246" s="115"/>
      <c r="W246" s="115">
        <v>7.5</v>
      </c>
      <c r="X246" s="115">
        <f t="shared" si="2"/>
        <v>825</v>
      </c>
      <c r="Y246" s="120">
        <f t="shared" si="3"/>
        <v>1570</v>
      </c>
      <c r="Z246" s="115"/>
      <c r="AA246" s="120"/>
      <c r="AB246" s="116"/>
      <c r="AC246" s="116" t="s">
        <v>2679</v>
      </c>
      <c r="AD246" s="116" t="s">
        <v>2689</v>
      </c>
      <c r="AE246" s="116">
        <v>3</v>
      </c>
      <c r="AF246" s="116" t="s">
        <v>2682</v>
      </c>
      <c r="AG246" s="116"/>
      <c r="AH246" s="116"/>
      <c r="AI246" s="116"/>
      <c r="AJ246" s="116"/>
      <c r="AK246" s="116"/>
      <c r="AL246" s="116"/>
      <c r="AM246" s="299"/>
      <c r="AN246" s="299"/>
      <c r="AO246" s="299"/>
      <c r="AP246" s="299"/>
      <c r="AQ246" s="299"/>
      <c r="AR246" s="299"/>
      <c r="AS246" s="103"/>
    </row>
    <row r="247" spans="1:45" x14ac:dyDescent="0.2">
      <c r="B247" s="299"/>
      <c r="C247" s="115" t="s">
        <v>2613</v>
      </c>
      <c r="D247" s="115"/>
      <c r="E247" s="115">
        <v>0.18</v>
      </c>
      <c r="F247" s="115">
        <v>0</v>
      </c>
      <c r="G247" s="115"/>
      <c r="H247" s="118"/>
      <c r="I247" s="115"/>
      <c r="J247" s="115"/>
      <c r="K247" s="115"/>
      <c r="L247" s="115"/>
      <c r="M247" s="118"/>
      <c r="N247" s="115"/>
      <c r="O247" s="115"/>
      <c r="P247" s="115"/>
      <c r="Q247" s="115"/>
      <c r="R247" s="115"/>
      <c r="S247" s="115"/>
      <c r="T247" s="115"/>
      <c r="U247" s="115"/>
      <c r="V247" s="115"/>
      <c r="W247" s="115">
        <v>8</v>
      </c>
      <c r="X247" s="115">
        <f t="shared" si="2"/>
        <v>880</v>
      </c>
      <c r="Y247" s="120">
        <f t="shared" si="3"/>
        <v>1625</v>
      </c>
      <c r="Z247" s="115"/>
      <c r="AA247" s="120"/>
      <c r="AB247" s="116"/>
      <c r="AC247" s="116" t="s">
        <v>2690</v>
      </c>
      <c r="AD247" s="116" t="s">
        <v>2691</v>
      </c>
      <c r="AE247" s="116"/>
      <c r="AF247" s="116"/>
      <c r="AG247" s="116"/>
      <c r="AH247" s="116"/>
      <c r="AI247" s="116"/>
      <c r="AJ247" s="116"/>
      <c r="AK247" s="116"/>
      <c r="AL247" s="116"/>
      <c r="AM247" s="299"/>
      <c r="AN247" s="299"/>
      <c r="AO247" s="299"/>
      <c r="AP247" s="299"/>
      <c r="AQ247" s="299"/>
      <c r="AR247" s="299"/>
      <c r="AS247" s="103"/>
    </row>
    <row r="248" spans="1:45" x14ac:dyDescent="0.2">
      <c r="B248" s="299"/>
      <c r="C248" s="115" t="s">
        <v>2614</v>
      </c>
      <c r="D248" s="115"/>
      <c r="E248" s="115">
        <v>200</v>
      </c>
      <c r="F248" s="115"/>
      <c r="G248" s="115"/>
      <c r="H248" s="118"/>
      <c r="I248" s="115"/>
      <c r="J248" s="115"/>
      <c r="K248" s="115"/>
      <c r="L248" s="115"/>
      <c r="M248" s="118" t="s">
        <v>261</v>
      </c>
      <c r="N248" s="115">
        <f>IF(OR(H37&lt;1,H37&gt;3,H111&lt;800),0,600)</f>
        <v>0</v>
      </c>
      <c r="O248" s="115"/>
      <c r="P248" s="115"/>
      <c r="Q248" s="115"/>
      <c r="R248" s="115"/>
      <c r="S248" s="115"/>
      <c r="T248" s="115"/>
      <c r="U248" s="115"/>
      <c r="V248" s="115"/>
      <c r="W248" s="115">
        <v>8.5</v>
      </c>
      <c r="X248" s="115">
        <f t="shared" si="2"/>
        <v>935</v>
      </c>
      <c r="Y248" s="120">
        <f t="shared" si="3"/>
        <v>1680</v>
      </c>
      <c r="Z248" s="115"/>
      <c r="AA248" s="120"/>
      <c r="AB248" s="116"/>
      <c r="AC248" s="116" t="s">
        <v>2692</v>
      </c>
      <c r="AD248" s="116">
        <v>3</v>
      </c>
      <c r="AE248" s="116" t="s">
        <v>2693</v>
      </c>
      <c r="AF248" s="116" t="s">
        <v>2694</v>
      </c>
      <c r="AG248" s="116">
        <v>0.5</v>
      </c>
      <c r="AH248" s="116" t="s">
        <v>2166</v>
      </c>
      <c r="AI248" s="116"/>
      <c r="AJ248" s="116"/>
      <c r="AK248" s="116"/>
      <c r="AL248" s="116"/>
      <c r="AM248" s="299"/>
      <c r="AN248" s="299"/>
      <c r="AO248" s="299"/>
      <c r="AP248" s="299"/>
      <c r="AQ248" s="299"/>
      <c r="AR248" s="299"/>
      <c r="AS248" s="103"/>
    </row>
    <row r="249" spans="1:45" x14ac:dyDescent="0.2">
      <c r="B249" s="299"/>
      <c r="C249" s="115"/>
      <c r="D249" s="115"/>
      <c r="E249" s="115"/>
      <c r="F249" s="115"/>
      <c r="G249" s="115"/>
      <c r="H249" s="118"/>
      <c r="I249" s="115"/>
      <c r="J249" s="115"/>
      <c r="K249" s="115"/>
      <c r="L249" s="115"/>
      <c r="M249" s="118">
        <f>IF(H86&gt;2000,2000,H86)</f>
        <v>1750</v>
      </c>
      <c r="N249" s="115"/>
      <c r="O249" s="115"/>
      <c r="P249" s="115"/>
      <c r="Q249" s="115"/>
      <c r="R249" s="115"/>
      <c r="S249" s="115"/>
      <c r="T249" s="115"/>
      <c r="U249" s="115"/>
      <c r="V249" s="115"/>
      <c r="W249" s="115">
        <v>9</v>
      </c>
      <c r="X249" s="115">
        <f t="shared" si="2"/>
        <v>990</v>
      </c>
      <c r="Y249" s="120">
        <f t="shared" si="3"/>
        <v>1735</v>
      </c>
      <c r="Z249" s="115"/>
      <c r="AA249" s="120"/>
      <c r="AB249" s="116"/>
      <c r="AC249" s="116" t="s">
        <v>2659</v>
      </c>
      <c r="AD249" s="116"/>
      <c r="AE249" s="116"/>
      <c r="AF249" s="116"/>
      <c r="AG249" s="116"/>
      <c r="AH249" s="116"/>
      <c r="AI249" s="116"/>
      <c r="AJ249" s="116"/>
      <c r="AK249" s="116"/>
      <c r="AL249" s="116"/>
      <c r="AM249" s="299"/>
      <c r="AN249" s="299"/>
      <c r="AO249" s="299"/>
      <c r="AP249" s="299"/>
      <c r="AQ249" s="299"/>
      <c r="AR249" s="299"/>
      <c r="AS249" s="103"/>
    </row>
    <row r="250" spans="1:45" x14ac:dyDescent="0.2">
      <c r="B250" s="299"/>
      <c r="C250" s="115"/>
      <c r="D250" s="115"/>
      <c r="E250" s="115"/>
      <c r="F250" s="115"/>
      <c r="G250" s="115"/>
      <c r="H250" s="118"/>
      <c r="I250" s="115"/>
      <c r="J250" s="115"/>
      <c r="K250" s="115"/>
      <c r="L250" s="115"/>
      <c r="M250" s="118">
        <f>H111</f>
        <v>1048.1477647058828</v>
      </c>
      <c r="N250" s="115">
        <f>IF(M250&gt;1100,0.4,IF(M250&lt;900,0,M250/27.5/100))</f>
        <v>0.38114464171123008</v>
      </c>
      <c r="O250" s="475">
        <f>M249*N250</f>
        <v>667.00312299465259</v>
      </c>
      <c r="P250" s="115">
        <f>IF($H$37&gt;2,$O$250*2,$O$250*$H$37)</f>
        <v>1334.0062459893052</v>
      </c>
      <c r="Q250" s="115"/>
      <c r="R250" s="115"/>
      <c r="S250" s="115"/>
      <c r="T250" s="115"/>
      <c r="U250" s="115"/>
      <c r="V250" s="115"/>
      <c r="W250" s="115">
        <v>9.5</v>
      </c>
      <c r="X250" s="115">
        <f t="shared" si="2"/>
        <v>1045</v>
      </c>
      <c r="Y250" s="120">
        <f t="shared" si="3"/>
        <v>1790</v>
      </c>
      <c r="Z250" s="115"/>
      <c r="AA250" s="120"/>
      <c r="AB250" s="116"/>
      <c r="AC250" s="116" t="s">
        <v>2695</v>
      </c>
      <c r="AD250" s="116">
        <v>3</v>
      </c>
      <c r="AE250" s="116" t="s">
        <v>2166</v>
      </c>
      <c r="AF250" s="116" t="s">
        <v>2693</v>
      </c>
      <c r="AG250" s="116" t="s">
        <v>2696</v>
      </c>
      <c r="AH250" s="116" t="s">
        <v>2683</v>
      </c>
      <c r="AI250" s="116" t="s">
        <v>2697</v>
      </c>
      <c r="AJ250" s="116" t="s">
        <v>2166</v>
      </c>
      <c r="AK250" s="116" t="s">
        <v>2693</v>
      </c>
      <c r="AL250" s="116" t="s">
        <v>2679</v>
      </c>
      <c r="AM250" s="299" t="s">
        <v>2698</v>
      </c>
      <c r="AN250" s="299"/>
      <c r="AO250" s="299"/>
      <c r="AP250" s="299"/>
      <c r="AQ250" s="299"/>
      <c r="AR250" s="299"/>
      <c r="AS250" s="103"/>
    </row>
    <row r="251" spans="1:45" x14ac:dyDescent="0.2">
      <c r="B251" s="299"/>
      <c r="C251" s="115"/>
      <c r="D251" s="115"/>
      <c r="E251" s="115"/>
      <c r="F251" s="115"/>
      <c r="G251" s="115"/>
      <c r="H251" s="118"/>
      <c r="I251" s="115"/>
      <c r="J251" s="115"/>
      <c r="K251" s="115"/>
      <c r="L251" s="115"/>
      <c r="M251" s="120">
        <f>M250/27.5</f>
        <v>38.114464171123011</v>
      </c>
      <c r="N251" s="115"/>
      <c r="O251" s="115"/>
      <c r="P251" s="115"/>
      <c r="Q251" s="115"/>
      <c r="R251" s="476" t="s">
        <v>1243</v>
      </c>
      <c r="S251" s="115"/>
      <c r="T251" s="115"/>
      <c r="U251" s="115"/>
      <c r="V251" s="115"/>
      <c r="W251" s="115">
        <v>10</v>
      </c>
      <c r="X251" s="115">
        <f t="shared" si="2"/>
        <v>1100</v>
      </c>
      <c r="Y251" s="120">
        <f t="shared" si="3"/>
        <v>1845</v>
      </c>
      <c r="Z251" s="115"/>
      <c r="AA251" s="120"/>
      <c r="AB251" s="116"/>
      <c r="AC251" s="116" t="s">
        <v>2695</v>
      </c>
      <c r="AD251" s="116" t="s">
        <v>2699</v>
      </c>
      <c r="AE251" s="116"/>
      <c r="AF251" s="116"/>
      <c r="AG251" s="116"/>
      <c r="AH251" s="116"/>
      <c r="AI251" s="116"/>
      <c r="AJ251" s="116"/>
      <c r="AK251" s="116"/>
      <c r="AL251" s="116"/>
      <c r="AM251" s="299"/>
      <c r="AN251" s="299"/>
      <c r="AO251" s="299"/>
      <c r="AP251" s="299"/>
      <c r="AQ251" s="299"/>
      <c r="AR251" s="299"/>
      <c r="AS251" s="103"/>
    </row>
    <row r="252" spans="1:45" x14ac:dyDescent="0.2">
      <c r="B252" s="299"/>
      <c r="C252" s="115"/>
      <c r="D252" s="115"/>
      <c r="E252" s="115"/>
      <c r="F252" s="115"/>
      <c r="G252" s="115"/>
      <c r="H252" s="118"/>
      <c r="I252" s="115"/>
      <c r="J252" s="115"/>
      <c r="K252" s="115"/>
      <c r="L252" s="115"/>
      <c r="M252" s="118"/>
      <c r="N252" s="115"/>
      <c r="O252" s="115"/>
      <c r="P252" s="115"/>
      <c r="Q252" s="115"/>
      <c r="R252" s="115" t="s">
        <v>102</v>
      </c>
      <c r="S252" s="115" t="s">
        <v>2601</v>
      </c>
      <c r="T252" s="115" t="s">
        <v>2602</v>
      </c>
      <c r="U252" s="115"/>
      <c r="V252" s="115"/>
      <c r="W252" s="115">
        <v>10.5</v>
      </c>
      <c r="X252" s="115">
        <f t="shared" si="2"/>
        <v>1155</v>
      </c>
      <c r="Y252" s="120">
        <f t="shared" si="3"/>
        <v>1900</v>
      </c>
      <c r="Z252" s="115"/>
      <c r="AA252" s="120"/>
      <c r="AB252" s="116"/>
      <c r="AC252" s="116"/>
      <c r="AD252" s="116"/>
      <c r="AE252" s="116"/>
      <c r="AF252" s="116"/>
      <c r="AG252" s="116"/>
      <c r="AH252" s="116"/>
      <c r="AI252" s="116"/>
      <c r="AJ252" s="116"/>
      <c r="AK252" s="116"/>
      <c r="AL252" s="116"/>
      <c r="AM252" s="299"/>
      <c r="AN252" s="299"/>
      <c r="AO252" s="299"/>
      <c r="AP252" s="299"/>
      <c r="AQ252" s="299"/>
      <c r="AR252" s="299"/>
      <c r="AS252" s="103"/>
    </row>
    <row r="253" spans="1:45" x14ac:dyDescent="0.2">
      <c r="B253" s="299"/>
      <c r="C253" s="115"/>
      <c r="D253" s="115"/>
      <c r="E253" s="115"/>
      <c r="F253" s="115"/>
      <c r="G253" s="115"/>
      <c r="H253" s="118"/>
      <c r="I253" s="115"/>
      <c r="J253" s="115"/>
      <c r="K253" s="115"/>
      <c r="L253" s="115"/>
      <c r="M253" s="118"/>
      <c r="N253" s="115"/>
      <c r="O253" s="115"/>
      <c r="P253" s="115"/>
      <c r="Q253" s="115">
        <v>1</v>
      </c>
      <c r="R253" s="115">
        <v>500</v>
      </c>
      <c r="S253" s="115">
        <v>800</v>
      </c>
      <c r="T253" s="115">
        <f>SUM(R253:S253)</f>
        <v>1300</v>
      </c>
      <c r="U253" s="115"/>
      <c r="V253" s="115"/>
      <c r="W253" s="115">
        <v>11</v>
      </c>
      <c r="X253" s="115">
        <f t="shared" si="2"/>
        <v>1210</v>
      </c>
      <c r="Y253" s="120">
        <f t="shared" si="3"/>
        <v>1955</v>
      </c>
      <c r="Z253" s="115"/>
      <c r="AA253" s="120"/>
      <c r="AB253" s="116"/>
      <c r="AC253" s="116"/>
      <c r="AD253" s="116"/>
      <c r="AE253" s="116"/>
      <c r="AF253" s="116"/>
      <c r="AG253" s="116"/>
      <c r="AH253" s="116"/>
      <c r="AI253" s="116"/>
      <c r="AJ253" s="116"/>
      <c r="AK253" s="116"/>
      <c r="AL253" s="116"/>
      <c r="AM253" s="299"/>
      <c r="AN253" s="299"/>
      <c r="AO253" s="299"/>
      <c r="AP253" s="299"/>
      <c r="AQ253" s="299"/>
      <c r="AR253" s="299"/>
      <c r="AS253" s="103"/>
    </row>
    <row r="254" spans="1:45" x14ac:dyDescent="0.2">
      <c r="B254" s="299"/>
      <c r="C254" s="115"/>
      <c r="D254" s="115"/>
      <c r="E254" s="115"/>
      <c r="F254" s="115"/>
      <c r="G254" s="115"/>
      <c r="H254" s="118"/>
      <c r="I254" s="115"/>
      <c r="J254" s="115"/>
      <c r="K254" s="115"/>
      <c r="L254" s="115"/>
      <c r="M254" s="118"/>
      <c r="N254" s="115"/>
      <c r="O254" s="115"/>
      <c r="P254" s="115"/>
      <c r="Q254" s="115">
        <v>2</v>
      </c>
      <c r="R254" s="115">
        <v>500</v>
      </c>
      <c r="S254" s="115">
        <v>800</v>
      </c>
      <c r="T254" s="115">
        <f t="shared" ref="T254:T260" si="4">SUM(R254:S254)</f>
        <v>1300</v>
      </c>
      <c r="U254" s="115"/>
      <c r="V254" s="115"/>
      <c r="W254" s="115">
        <v>11.5</v>
      </c>
      <c r="X254" s="115">
        <f t="shared" si="2"/>
        <v>1265</v>
      </c>
      <c r="Y254" s="120">
        <f t="shared" si="3"/>
        <v>2010</v>
      </c>
      <c r="Z254" s="115"/>
      <c r="AA254" s="120"/>
      <c r="AB254" s="116"/>
      <c r="AC254" s="116"/>
      <c r="AD254" s="116"/>
      <c r="AE254" s="116"/>
      <c r="AF254" s="116"/>
      <c r="AG254" s="116"/>
      <c r="AH254" s="116"/>
      <c r="AI254" s="116"/>
      <c r="AJ254" s="116"/>
      <c r="AK254" s="116"/>
      <c r="AL254" s="116"/>
      <c r="AM254" s="299"/>
      <c r="AN254" s="299"/>
      <c r="AO254" s="299"/>
      <c r="AP254" s="299"/>
      <c r="AQ254" s="299"/>
      <c r="AR254" s="299"/>
      <c r="AS254" s="103"/>
    </row>
    <row r="255" spans="1:45" x14ac:dyDescent="0.2">
      <c r="B255" s="299"/>
      <c r="C255" s="115"/>
      <c r="D255" s="115"/>
      <c r="E255" s="115"/>
      <c r="F255" s="115"/>
      <c r="G255" s="115"/>
      <c r="H255" s="118"/>
      <c r="I255" s="477" t="s">
        <v>2620</v>
      </c>
      <c r="J255" s="115"/>
      <c r="K255" s="115"/>
      <c r="L255" s="115"/>
      <c r="M255" s="118"/>
      <c r="N255" s="115"/>
      <c r="O255" s="115"/>
      <c r="P255" s="115"/>
      <c r="Q255" s="115">
        <v>3</v>
      </c>
      <c r="R255" s="115">
        <v>500</v>
      </c>
      <c r="S255" s="115">
        <v>800</v>
      </c>
      <c r="T255" s="115">
        <f t="shared" si="4"/>
        <v>1300</v>
      </c>
      <c r="U255" s="115"/>
      <c r="V255" s="115"/>
      <c r="W255" s="115">
        <v>12</v>
      </c>
      <c r="X255" s="115">
        <f t="shared" si="2"/>
        <v>1320</v>
      </c>
      <c r="Y255" s="120">
        <f t="shared" si="3"/>
        <v>2065</v>
      </c>
      <c r="Z255" s="115"/>
      <c r="AA255" s="120"/>
      <c r="AB255" s="116"/>
      <c r="AC255" s="116"/>
      <c r="AD255" s="116"/>
      <c r="AE255" s="116"/>
      <c r="AF255" s="116"/>
      <c r="AG255" s="116"/>
      <c r="AH255" s="116"/>
      <c r="AI255" s="116"/>
      <c r="AJ255" s="116"/>
      <c r="AK255" s="116"/>
      <c r="AL255" s="116"/>
      <c r="AM255" s="299"/>
      <c r="AN255" s="299"/>
      <c r="AO255" s="299"/>
      <c r="AP255" s="299"/>
      <c r="AQ255" s="299"/>
      <c r="AR255" s="299"/>
      <c r="AS255" s="103"/>
    </row>
    <row r="256" spans="1:45" x14ac:dyDescent="0.2">
      <c r="B256" s="299"/>
      <c r="C256" s="115"/>
      <c r="D256" s="115"/>
      <c r="E256" s="115"/>
      <c r="F256" s="115"/>
      <c r="G256" s="115"/>
      <c r="H256" s="118"/>
      <c r="I256" s="465" t="s">
        <v>2621</v>
      </c>
      <c r="J256" s="115"/>
      <c r="K256" s="115"/>
      <c r="L256" s="115"/>
      <c r="M256" s="118"/>
      <c r="N256" s="115"/>
      <c r="O256" s="115"/>
      <c r="P256" s="115"/>
      <c r="Q256" s="115">
        <v>4</v>
      </c>
      <c r="R256" s="115">
        <v>500</v>
      </c>
      <c r="S256" s="115">
        <v>800</v>
      </c>
      <c r="T256" s="115">
        <f t="shared" si="4"/>
        <v>1300</v>
      </c>
      <c r="U256" s="115"/>
      <c r="V256" s="115"/>
      <c r="W256" s="115">
        <v>12.5</v>
      </c>
      <c r="X256" s="115">
        <f t="shared" si="2"/>
        <v>1375</v>
      </c>
      <c r="Y256" s="120">
        <f t="shared" si="3"/>
        <v>2120</v>
      </c>
      <c r="Z256" s="115"/>
      <c r="AA256" s="120"/>
      <c r="AB256" s="116"/>
      <c r="AC256" s="116"/>
      <c r="AD256" s="116"/>
      <c r="AE256" s="116"/>
      <c r="AF256" s="116"/>
      <c r="AG256" s="116"/>
      <c r="AH256" s="116"/>
      <c r="AI256" s="116"/>
      <c r="AJ256" s="116"/>
      <c r="AK256" s="116"/>
      <c r="AL256" s="116"/>
      <c r="AM256" s="299"/>
      <c r="AN256" s="299"/>
      <c r="AO256" s="299"/>
      <c r="AP256" s="299"/>
      <c r="AQ256" s="299"/>
      <c r="AR256" s="299"/>
      <c r="AS256" s="103"/>
    </row>
    <row r="257" spans="2:45" x14ac:dyDescent="0.2">
      <c r="B257" s="299"/>
      <c r="C257" s="115"/>
      <c r="D257" s="115"/>
      <c r="E257" s="115"/>
      <c r="F257" s="115"/>
      <c r="G257" s="115"/>
      <c r="H257" s="118"/>
      <c r="I257" s="465" t="s">
        <v>2622</v>
      </c>
      <c r="J257" s="115"/>
      <c r="K257" s="115"/>
      <c r="L257" s="115"/>
      <c r="M257" s="118"/>
      <c r="N257" s="115"/>
      <c r="O257" s="115"/>
      <c r="P257" s="115"/>
      <c r="Q257" s="115">
        <v>5</v>
      </c>
      <c r="R257" s="115">
        <v>500</v>
      </c>
      <c r="S257" s="115">
        <v>800</v>
      </c>
      <c r="T257" s="115">
        <f t="shared" si="4"/>
        <v>1300</v>
      </c>
      <c r="U257" s="115"/>
      <c r="V257" s="115"/>
      <c r="W257" s="115">
        <v>13</v>
      </c>
      <c r="X257" s="115">
        <f t="shared" si="2"/>
        <v>1430</v>
      </c>
      <c r="Y257" s="120">
        <f t="shared" si="3"/>
        <v>2175</v>
      </c>
      <c r="Z257" s="115"/>
      <c r="AA257" s="120"/>
      <c r="AB257" s="116"/>
      <c r="AC257" s="116"/>
      <c r="AD257" s="116"/>
      <c r="AE257" s="116"/>
      <c r="AF257" s="116"/>
      <c r="AG257" s="116"/>
      <c r="AH257" s="116"/>
      <c r="AI257" s="116"/>
      <c r="AJ257" s="116"/>
      <c r="AK257" s="116"/>
      <c r="AL257" s="116"/>
      <c r="AM257" s="299"/>
      <c r="AN257" s="299"/>
      <c r="AO257" s="299"/>
      <c r="AP257" s="299"/>
      <c r="AQ257" s="299"/>
      <c r="AR257" s="299"/>
      <c r="AS257" s="103"/>
    </row>
    <row r="258" spans="2:45" x14ac:dyDescent="0.2">
      <c r="B258" s="299"/>
      <c r="C258" s="115"/>
      <c r="D258" s="115"/>
      <c r="E258" s="115"/>
      <c r="F258" s="115"/>
      <c r="G258" s="115"/>
      <c r="H258" s="118"/>
      <c r="I258" s="465"/>
      <c r="J258" s="115"/>
      <c r="K258" s="115"/>
      <c r="L258" s="115"/>
      <c r="M258" s="118"/>
      <c r="N258" s="115"/>
      <c r="O258" s="115"/>
      <c r="P258" s="115"/>
      <c r="Q258" s="115">
        <v>6</v>
      </c>
      <c r="R258" s="115">
        <v>1000</v>
      </c>
      <c r="S258" s="115">
        <v>0</v>
      </c>
      <c r="T258" s="115">
        <f t="shared" si="4"/>
        <v>1000</v>
      </c>
      <c r="U258" s="115"/>
      <c r="V258" s="115"/>
      <c r="W258" s="115">
        <v>13.5</v>
      </c>
      <c r="X258" s="115">
        <f t="shared" si="2"/>
        <v>1485</v>
      </c>
      <c r="Y258" s="120">
        <f t="shared" si="3"/>
        <v>2230</v>
      </c>
      <c r="Z258" s="115"/>
      <c r="AA258" s="120"/>
      <c r="AB258" s="116"/>
      <c r="AC258" s="116"/>
      <c r="AD258" s="116"/>
      <c r="AE258" s="116"/>
      <c r="AF258" s="116"/>
      <c r="AG258" s="116"/>
      <c r="AH258" s="116"/>
      <c r="AI258" s="116"/>
      <c r="AJ258" s="116"/>
      <c r="AK258" s="116"/>
      <c r="AL258" s="116"/>
      <c r="AM258" s="299"/>
      <c r="AN258" s="299"/>
      <c r="AO258" s="299"/>
      <c r="AP258" s="299"/>
      <c r="AQ258" s="299"/>
      <c r="AR258" s="299"/>
      <c r="AS258" s="103"/>
    </row>
    <row r="259" spans="2:45" x14ac:dyDescent="0.2">
      <c r="B259" s="299"/>
      <c r="C259" s="115"/>
      <c r="D259" s="115"/>
      <c r="E259" s="115"/>
      <c r="F259" s="115"/>
      <c r="G259" s="115"/>
      <c r="H259" s="118"/>
      <c r="I259" s="477" t="s">
        <v>2744</v>
      </c>
      <c r="J259" s="115"/>
      <c r="K259" s="115"/>
      <c r="L259" s="115"/>
      <c r="M259" s="118"/>
      <c r="N259" s="115"/>
      <c r="O259" s="115"/>
      <c r="P259" s="115"/>
      <c r="Q259" s="115">
        <v>7</v>
      </c>
      <c r="R259" s="115">
        <v>1000</v>
      </c>
      <c r="S259" s="115">
        <v>0</v>
      </c>
      <c r="T259" s="115">
        <f t="shared" si="4"/>
        <v>1000</v>
      </c>
      <c r="U259" s="115"/>
      <c r="V259" s="115"/>
      <c r="W259" s="115">
        <v>14</v>
      </c>
      <c r="X259" s="115">
        <f t="shared" si="2"/>
        <v>1540</v>
      </c>
      <c r="Y259" s="120">
        <f t="shared" si="3"/>
        <v>2285</v>
      </c>
      <c r="Z259" s="115"/>
      <c r="AA259" s="120"/>
      <c r="AB259" s="116"/>
      <c r="AC259" s="116"/>
      <c r="AD259" s="116"/>
      <c r="AE259" s="116"/>
      <c r="AF259" s="116"/>
      <c r="AG259" s="116"/>
      <c r="AH259" s="116"/>
      <c r="AI259" s="116"/>
      <c r="AJ259" s="116"/>
      <c r="AK259" s="116"/>
      <c r="AL259" s="116"/>
      <c r="AM259" s="299"/>
      <c r="AN259" s="299"/>
      <c r="AO259" s="299"/>
      <c r="AP259" s="299"/>
      <c r="AQ259" s="299"/>
      <c r="AR259" s="299"/>
      <c r="AS259" s="103"/>
    </row>
    <row r="260" spans="2:45" x14ac:dyDescent="0.2">
      <c r="B260" s="299"/>
      <c r="C260" s="115"/>
      <c r="D260" s="115"/>
      <c r="E260" s="115"/>
      <c r="F260" s="115"/>
      <c r="G260" s="115"/>
      <c r="H260" s="118"/>
      <c r="I260" s="465" t="s">
        <v>2745</v>
      </c>
      <c r="J260" s="115"/>
      <c r="K260" s="115"/>
      <c r="L260" s="115"/>
      <c r="M260" s="118"/>
      <c r="N260" s="115"/>
      <c r="O260" s="115"/>
      <c r="P260" s="115"/>
      <c r="Q260" s="115">
        <v>8</v>
      </c>
      <c r="R260" s="115">
        <v>1000</v>
      </c>
      <c r="S260" s="115">
        <v>0</v>
      </c>
      <c r="T260" s="115">
        <f t="shared" si="4"/>
        <v>1000</v>
      </c>
      <c r="U260" s="115"/>
      <c r="V260" s="115"/>
      <c r="W260" s="115">
        <v>14.5</v>
      </c>
      <c r="X260" s="115">
        <f t="shared" si="2"/>
        <v>1595</v>
      </c>
      <c r="Y260" s="120">
        <f t="shared" si="3"/>
        <v>2340</v>
      </c>
      <c r="Z260" s="115"/>
      <c r="AA260" s="120"/>
      <c r="AB260" s="116"/>
      <c r="AC260" s="116"/>
      <c r="AD260" s="116"/>
      <c r="AE260" s="116"/>
      <c r="AF260" s="116"/>
      <c r="AG260" s="116"/>
      <c r="AH260" s="116"/>
      <c r="AI260" s="116"/>
      <c r="AJ260" s="116"/>
      <c r="AK260" s="116"/>
      <c r="AL260" s="116"/>
      <c r="AM260" s="299"/>
      <c r="AN260" s="299"/>
      <c r="AO260" s="299"/>
      <c r="AP260" s="299"/>
      <c r="AQ260" s="299"/>
      <c r="AR260" s="299"/>
      <c r="AS260" s="103"/>
    </row>
    <row r="261" spans="2:45" x14ac:dyDescent="0.2">
      <c r="B261" s="299"/>
      <c r="C261" s="115"/>
      <c r="D261" s="115"/>
      <c r="E261" s="115"/>
      <c r="F261" s="115"/>
      <c r="G261" s="115"/>
      <c r="H261" s="118"/>
      <c r="I261" s="465" t="s">
        <v>2623</v>
      </c>
      <c r="J261" s="115"/>
      <c r="K261" s="115"/>
      <c r="L261" s="115"/>
      <c r="M261" s="118"/>
      <c r="N261" s="115"/>
      <c r="O261" s="115"/>
      <c r="P261" s="115"/>
      <c r="Q261" s="115"/>
      <c r="R261" s="115"/>
      <c r="S261" s="115"/>
      <c r="T261" s="115"/>
      <c r="U261" s="115"/>
      <c r="V261" s="115"/>
      <c r="W261" s="115">
        <v>15</v>
      </c>
      <c r="X261" s="115">
        <f t="shared" si="2"/>
        <v>1650</v>
      </c>
      <c r="Y261" s="120">
        <f t="shared" si="3"/>
        <v>2395</v>
      </c>
      <c r="Z261" s="115"/>
      <c r="AA261" s="120"/>
      <c r="AB261" s="116"/>
      <c r="AC261" s="116"/>
      <c r="AD261" s="116"/>
      <c r="AE261" s="116"/>
      <c r="AF261" s="116"/>
      <c r="AG261" s="116"/>
      <c r="AH261" s="116"/>
      <c r="AI261" s="116"/>
      <c r="AJ261" s="116"/>
      <c r="AK261" s="116"/>
      <c r="AL261" s="116"/>
      <c r="AM261" s="299"/>
      <c r="AN261" s="299"/>
      <c r="AO261" s="299"/>
      <c r="AP261" s="299"/>
      <c r="AQ261" s="299"/>
      <c r="AR261" s="299"/>
      <c r="AS261" s="103"/>
    </row>
    <row r="262" spans="2:45" x14ac:dyDescent="0.2">
      <c r="B262" s="299"/>
      <c r="C262" s="115"/>
      <c r="D262" s="115"/>
      <c r="E262" s="115"/>
      <c r="F262" s="115"/>
      <c r="G262" s="115"/>
      <c r="H262" s="118"/>
      <c r="I262" s="465" t="s">
        <v>2746</v>
      </c>
      <c r="J262" s="115"/>
      <c r="K262" s="115"/>
      <c r="L262" s="115"/>
      <c r="M262" s="118"/>
      <c r="N262" s="115"/>
      <c r="O262" s="115"/>
      <c r="P262" s="115"/>
      <c r="Q262" s="115"/>
      <c r="R262" s="115"/>
      <c r="S262" s="115"/>
      <c r="T262" s="115"/>
      <c r="U262" s="115"/>
      <c r="V262" s="115"/>
      <c r="W262" s="140"/>
      <c r="X262" s="140"/>
      <c r="Y262" s="140"/>
      <c r="Z262" s="299"/>
      <c r="AA262" s="116"/>
      <c r="AB262" s="116"/>
      <c r="AC262" s="116"/>
      <c r="AD262" s="116"/>
      <c r="AE262" s="116"/>
      <c r="AF262" s="116"/>
      <c r="AG262" s="116"/>
      <c r="AH262" s="116"/>
      <c r="AI262" s="116"/>
      <c r="AJ262" s="116"/>
      <c r="AK262" s="116"/>
      <c r="AL262" s="116"/>
      <c r="AM262" s="299"/>
      <c r="AN262" s="299"/>
      <c r="AO262" s="299"/>
      <c r="AP262" s="299"/>
      <c r="AQ262" s="299"/>
      <c r="AR262" s="299"/>
      <c r="AS262" s="103"/>
    </row>
    <row r="263" spans="2:45" x14ac:dyDescent="0.2">
      <c r="B263" s="299"/>
      <c r="C263" s="115"/>
      <c r="D263" s="115"/>
      <c r="E263" s="115"/>
      <c r="F263" s="115"/>
      <c r="G263" s="115"/>
      <c r="H263" s="118"/>
      <c r="I263" s="465" t="s">
        <v>2747</v>
      </c>
      <c r="J263" s="115"/>
      <c r="K263" s="115"/>
      <c r="L263" s="115"/>
      <c r="M263" s="118"/>
      <c r="N263" s="115"/>
      <c r="O263" s="115"/>
      <c r="P263" s="115"/>
      <c r="Q263" s="115"/>
      <c r="R263" s="115"/>
      <c r="S263" s="115"/>
      <c r="T263" s="115"/>
      <c r="U263" s="115"/>
      <c r="V263" s="115"/>
      <c r="W263" s="140"/>
      <c r="X263" s="140"/>
      <c r="Y263" s="140"/>
      <c r="Z263" s="299"/>
      <c r="AA263" s="116"/>
      <c r="AB263" s="116"/>
      <c r="AC263" s="116"/>
      <c r="AD263" s="116"/>
      <c r="AE263" s="116"/>
      <c r="AF263" s="116"/>
      <c r="AG263" s="116"/>
      <c r="AH263" s="116"/>
      <c r="AI263" s="116"/>
      <c r="AJ263" s="116"/>
      <c r="AK263" s="116"/>
      <c r="AL263" s="116"/>
      <c r="AM263" s="299"/>
      <c r="AN263" s="299"/>
      <c r="AO263" s="299"/>
      <c r="AP263" s="299"/>
      <c r="AQ263" s="299"/>
      <c r="AR263" s="299"/>
      <c r="AS263" s="103"/>
    </row>
    <row r="264" spans="2:45" x14ac:dyDescent="0.2">
      <c r="B264" s="299"/>
      <c r="C264" s="115"/>
      <c r="D264" s="115"/>
      <c r="E264" s="115"/>
      <c r="F264" s="115"/>
      <c r="G264" s="115"/>
      <c r="H264" s="118"/>
      <c r="I264" s="465"/>
      <c r="J264" s="115"/>
      <c r="K264" s="115"/>
      <c r="L264" s="115"/>
      <c r="M264" s="118"/>
      <c r="N264" s="115"/>
      <c r="O264" s="115"/>
      <c r="P264" s="115"/>
      <c r="Q264" s="115"/>
      <c r="R264" s="115" t="e">
        <f>IF((IF(H37&lt;=5,F56*0.5*H37+H37*H56,F56*0.5*5+((H37-5)*F56)+5*H56))&gt;0.4*H89,IF(0.4*H89&gt;100000,100000,0.4*H89),IF(H37&lt;=5,F56*0.5*H37+H37*H56,F56*0.5*5+((H37-5)*F56)+5*H56))</f>
        <v>#VALUE!</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299"/>
      <c r="AN264" s="299"/>
      <c r="AO264" s="299"/>
      <c r="AP264" s="299"/>
      <c r="AQ264" s="299"/>
      <c r="AR264" s="299"/>
      <c r="AS264" s="103"/>
    </row>
    <row r="265" spans="2:45" x14ac:dyDescent="0.2">
      <c r="B265" s="299"/>
      <c r="C265" s="115"/>
      <c r="D265" s="115"/>
      <c r="E265" s="115"/>
      <c r="F265" s="115"/>
      <c r="G265" s="115"/>
      <c r="H265" s="118"/>
      <c r="I265" s="465"/>
      <c r="J265" s="115"/>
      <c r="K265" s="115"/>
      <c r="L265" s="115"/>
      <c r="M265" s="118"/>
      <c r="N265" s="115"/>
      <c r="O265" s="115"/>
      <c r="P265" s="115"/>
      <c r="Q265" s="115"/>
      <c r="R265" s="115" t="b">
        <f>IF(AND($H$63&lt;&gt;"Fördertarif",D217=$H$186),IF((IF(H37&lt;=5,F56*0.5*H37+H37*H56,F56*0.5*5+(H37-5)*F56+5*H56))&gt;0.4*H89,IF(0.4*H89&gt;100000,100000,0.4*H89),IF(H37&lt;=5,F56*0.5*H37+H37*H56,F56*0.5*5+((H37-5)*F56+5*H56))))</f>
        <v>0</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299"/>
      <c r="AN265" s="299"/>
      <c r="AO265" s="299"/>
      <c r="AP265" s="299"/>
      <c r="AQ265" s="299"/>
      <c r="AR265" s="299"/>
      <c r="AS265" s="103"/>
    </row>
    <row r="266" spans="2:45" x14ac:dyDescent="0.2">
      <c r="B266" s="299"/>
      <c r="C266" s="115"/>
      <c r="D266" s="115"/>
      <c r="E266" s="115"/>
      <c r="F266" s="115"/>
      <c r="G266" s="115"/>
      <c r="H266" s="118"/>
      <c r="I266" s="477" t="s">
        <v>2624</v>
      </c>
      <c r="J266" s="115"/>
      <c r="K266" s="115"/>
      <c r="L266" s="115"/>
      <c r="M266" s="118"/>
      <c r="N266" s="115"/>
      <c r="O266" s="115"/>
      <c r="P266" s="115"/>
      <c r="Q266" s="115"/>
      <c r="R266" s="115"/>
      <c r="S266" s="115"/>
      <c r="T266" s="115"/>
      <c r="U266" s="115"/>
      <c r="V266" s="118">
        <f>H37</f>
        <v>15</v>
      </c>
      <c r="W266" s="115"/>
      <c r="X266" s="115"/>
      <c r="Y266" s="115"/>
      <c r="Z266" s="116"/>
      <c r="AA266" s="116"/>
      <c r="AB266" s="116"/>
      <c r="AC266" s="116"/>
      <c r="AD266" s="116"/>
      <c r="AE266" s="116"/>
      <c r="AF266" s="116"/>
      <c r="AG266" s="116"/>
      <c r="AH266" s="116"/>
      <c r="AI266" s="116"/>
      <c r="AJ266" s="116"/>
      <c r="AK266" s="116"/>
      <c r="AL266" s="116"/>
      <c r="AM266" s="299"/>
      <c r="AN266" s="299"/>
      <c r="AO266" s="299"/>
      <c r="AP266" s="299"/>
      <c r="AQ266" s="299"/>
      <c r="AR266" s="299"/>
      <c r="AS266" s="103"/>
    </row>
    <row r="267" spans="2:45" x14ac:dyDescent="0.2">
      <c r="B267" s="299"/>
      <c r="C267" s="115"/>
      <c r="D267" s="115"/>
      <c r="E267" s="115"/>
      <c r="F267" s="115"/>
      <c r="G267" s="115"/>
      <c r="H267" s="118"/>
      <c r="I267" s="465" t="s">
        <v>2625</v>
      </c>
      <c r="J267" s="115"/>
      <c r="K267" s="115"/>
      <c r="L267" s="115"/>
      <c r="M267" s="118"/>
      <c r="N267" s="115"/>
      <c r="O267" s="115"/>
      <c r="P267" s="115"/>
      <c r="Q267" s="115"/>
      <c r="R267" s="115"/>
      <c r="S267" s="115"/>
      <c r="T267" s="115"/>
      <c r="U267" s="115"/>
      <c r="V267" s="119">
        <f>ROUNDDOWN(V266,0)</f>
        <v>15</v>
      </c>
      <c r="W267" s="115">
        <v>1</v>
      </c>
      <c r="X267" s="115">
        <v>500</v>
      </c>
      <c r="Y267" s="115"/>
      <c r="Z267" s="116"/>
      <c r="AA267" s="116"/>
      <c r="AB267" s="116"/>
      <c r="AC267" s="116"/>
      <c r="AD267" s="116"/>
      <c r="AE267" s="116"/>
      <c r="AF267" s="116"/>
      <c r="AG267" s="116"/>
      <c r="AH267" s="116"/>
      <c r="AI267" s="116"/>
      <c r="AJ267" s="116"/>
      <c r="AK267" s="116"/>
      <c r="AL267" s="116"/>
      <c r="AM267" s="299"/>
      <c r="AN267" s="299"/>
      <c r="AO267" s="299"/>
      <c r="AP267" s="299"/>
      <c r="AQ267" s="299"/>
      <c r="AR267" s="299"/>
      <c r="AS267" s="103"/>
    </row>
    <row r="268" spans="2:45" x14ac:dyDescent="0.2">
      <c r="B268" s="299"/>
      <c r="C268" s="115"/>
      <c r="D268" s="115"/>
      <c r="E268" s="115"/>
      <c r="F268" s="115"/>
      <c r="G268" s="115"/>
      <c r="H268" s="118"/>
      <c r="I268" s="465" t="s">
        <v>2626</v>
      </c>
      <c r="J268" s="115"/>
      <c r="K268" s="115"/>
      <c r="L268" s="115"/>
      <c r="M268" s="118"/>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299"/>
      <c r="AN268" s="299"/>
      <c r="AO268" s="299"/>
      <c r="AP268" s="299"/>
      <c r="AQ268" s="299"/>
      <c r="AR268" s="299"/>
      <c r="AS268" s="103"/>
    </row>
    <row r="269" spans="2:45" x14ac:dyDescent="0.2">
      <c r="B269" s="299"/>
      <c r="C269" s="115"/>
      <c r="D269" s="115"/>
      <c r="E269" s="115"/>
      <c r="F269" s="115"/>
      <c r="G269" s="115"/>
      <c r="H269" s="118"/>
      <c r="I269" s="465" t="s">
        <v>2627</v>
      </c>
      <c r="J269" s="115"/>
      <c r="K269" s="115"/>
      <c r="L269" s="115"/>
      <c r="M269" s="118"/>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299"/>
      <c r="AN269" s="299"/>
      <c r="AO269" s="299"/>
      <c r="AP269" s="299"/>
      <c r="AQ269" s="299"/>
      <c r="AR269" s="299"/>
      <c r="AS269" s="103"/>
    </row>
    <row r="270" spans="2:45" x14ac:dyDescent="0.2">
      <c r="B270" s="299"/>
      <c r="C270" s="115"/>
      <c r="D270" s="115"/>
      <c r="E270" s="115"/>
      <c r="F270" s="115"/>
      <c r="G270" s="115"/>
      <c r="H270" s="118"/>
      <c r="I270" s="465" t="s">
        <v>2628</v>
      </c>
      <c r="J270" s="115"/>
      <c r="K270" s="115"/>
      <c r="L270" s="115"/>
      <c r="M270" s="118"/>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299"/>
      <c r="AN270" s="299"/>
      <c r="AO270" s="299"/>
      <c r="AP270" s="299"/>
      <c r="AQ270" s="299"/>
      <c r="AR270" s="299"/>
      <c r="AS270" s="103"/>
    </row>
    <row r="271" spans="2:45" x14ac:dyDescent="0.2">
      <c r="B271" s="299"/>
      <c r="C271" s="116"/>
      <c r="D271" s="116"/>
      <c r="E271" s="116"/>
      <c r="F271" s="116"/>
      <c r="G271" s="116"/>
      <c r="H271" s="478"/>
      <c r="I271" s="116"/>
      <c r="J271" s="116"/>
      <c r="K271" s="116"/>
      <c r="L271" s="116"/>
      <c r="M271" s="478"/>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299"/>
      <c r="AN271" s="299"/>
      <c r="AO271" s="299"/>
      <c r="AP271" s="299"/>
      <c r="AQ271" s="299"/>
      <c r="AR271" s="299"/>
      <c r="AS271" s="103"/>
    </row>
    <row r="272" spans="2:45" x14ac:dyDescent="0.2">
      <c r="B272" s="299"/>
      <c r="C272" s="116"/>
      <c r="D272" s="116"/>
      <c r="E272" s="116"/>
      <c r="F272" s="116"/>
      <c r="G272" s="116"/>
      <c r="H272" s="478"/>
      <c r="I272" s="116"/>
      <c r="J272" s="116"/>
      <c r="K272" s="116"/>
      <c r="L272" s="116"/>
      <c r="M272" s="478"/>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299"/>
      <c r="AN272" s="299"/>
      <c r="AO272" s="299"/>
      <c r="AP272" s="299"/>
      <c r="AQ272" s="299"/>
      <c r="AR272" s="299"/>
      <c r="AS272" s="103"/>
    </row>
    <row r="273" spans="2:45" x14ac:dyDescent="0.2">
      <c r="B273" s="299"/>
      <c r="C273" s="116"/>
      <c r="D273" s="116"/>
      <c r="E273" s="116"/>
      <c r="F273" s="116"/>
      <c r="G273" s="116"/>
      <c r="H273" s="478"/>
      <c r="I273" s="116"/>
      <c r="J273" s="116"/>
      <c r="K273" s="116"/>
      <c r="L273" s="116"/>
      <c r="M273" s="478"/>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299"/>
      <c r="AN273" s="299"/>
      <c r="AO273" s="299"/>
      <c r="AP273" s="299"/>
      <c r="AQ273" s="299"/>
      <c r="AR273" s="299"/>
      <c r="AS273" s="103"/>
    </row>
    <row r="274" spans="2:45" x14ac:dyDescent="0.2">
      <c r="B274" s="299"/>
      <c r="C274" s="116"/>
      <c r="D274" s="116"/>
      <c r="E274" s="116"/>
      <c r="F274" s="116"/>
      <c r="G274" s="116"/>
      <c r="H274" s="478"/>
      <c r="I274" s="116"/>
      <c r="J274" s="116"/>
      <c r="K274" s="116"/>
      <c r="L274" s="116"/>
      <c r="M274" s="478"/>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299"/>
      <c r="AN274" s="299"/>
      <c r="AO274" s="299"/>
      <c r="AP274" s="299"/>
      <c r="AQ274" s="299"/>
      <c r="AR274" s="299"/>
      <c r="AS274" s="103"/>
    </row>
    <row r="275" spans="2:45" x14ac:dyDescent="0.2">
      <c r="B275" s="299"/>
      <c r="C275" s="116"/>
      <c r="D275" s="116"/>
      <c r="E275" s="116"/>
      <c r="F275" s="116"/>
      <c r="G275" s="116"/>
      <c r="H275" s="478"/>
      <c r="I275" s="116"/>
      <c r="J275" s="116"/>
      <c r="K275" s="116"/>
      <c r="L275" s="116"/>
      <c r="M275" s="478"/>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299"/>
      <c r="AN275" s="299"/>
      <c r="AO275" s="299"/>
      <c r="AP275" s="299"/>
      <c r="AQ275" s="299"/>
      <c r="AR275" s="299"/>
      <c r="AS275" s="103"/>
    </row>
    <row r="276" spans="2:45" x14ac:dyDescent="0.2">
      <c r="B276" s="299"/>
      <c r="C276" s="116"/>
      <c r="D276" s="116"/>
      <c r="E276" s="116"/>
      <c r="F276" s="116"/>
      <c r="G276" s="116"/>
      <c r="H276" s="478"/>
      <c r="I276" s="116"/>
      <c r="J276" s="116"/>
      <c r="K276" s="116"/>
      <c r="L276" s="116"/>
      <c r="M276" s="478"/>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299"/>
      <c r="AN276" s="299"/>
      <c r="AO276" s="299"/>
      <c r="AP276" s="299"/>
      <c r="AQ276" s="299"/>
      <c r="AR276" s="299"/>
      <c r="AS276" s="103"/>
    </row>
    <row r="277" spans="2:45" x14ac:dyDescent="0.2">
      <c r="B277" s="299"/>
      <c r="C277" s="116"/>
      <c r="D277" s="116"/>
      <c r="E277" s="116"/>
      <c r="F277" s="116"/>
      <c r="G277" s="116"/>
      <c r="H277" s="478"/>
      <c r="I277" s="116"/>
      <c r="J277" s="116"/>
      <c r="K277" s="116"/>
      <c r="L277" s="116"/>
      <c r="M277" s="478"/>
      <c r="N277" s="116"/>
      <c r="O277" s="116"/>
      <c r="P277" s="116"/>
      <c r="Q277" s="116"/>
      <c r="R277" s="116"/>
      <c r="S277" s="116"/>
      <c r="T277" s="116"/>
      <c r="U277" s="116"/>
      <c r="V277" s="116"/>
      <c r="W277" s="116"/>
      <c r="X277" s="116"/>
      <c r="Y277" s="116"/>
      <c r="Z277" s="116"/>
      <c r="AA277" s="116"/>
      <c r="AB277" s="116"/>
      <c r="AC277" s="116"/>
      <c r="AD277" s="299"/>
      <c r="AE277" s="299"/>
      <c r="AF277" s="299"/>
      <c r="AG277" s="299"/>
      <c r="AH277" s="299"/>
      <c r="AI277" s="299"/>
      <c r="AJ277" s="299"/>
      <c r="AK277" s="299"/>
      <c r="AL277" s="299"/>
      <c r="AM277" s="299"/>
      <c r="AN277" s="299"/>
      <c r="AO277" s="299"/>
      <c r="AP277" s="299"/>
      <c r="AQ277" s="299"/>
      <c r="AR277" s="299"/>
      <c r="AS277" s="103"/>
    </row>
    <row r="278" spans="2:45" x14ac:dyDescent="0.2">
      <c r="B278" s="299"/>
      <c r="C278" s="116"/>
      <c r="D278" s="116"/>
      <c r="E278" s="116"/>
      <c r="F278" s="116"/>
      <c r="G278" s="116"/>
      <c r="H278" s="478"/>
      <c r="I278" s="116"/>
      <c r="J278" s="116"/>
      <c r="K278" s="116"/>
      <c r="L278" s="116"/>
      <c r="M278" s="478"/>
      <c r="N278" s="116"/>
      <c r="O278" s="116"/>
      <c r="P278" s="116"/>
      <c r="Q278" s="116"/>
      <c r="R278" s="116"/>
      <c r="S278" s="116"/>
      <c r="T278" s="116"/>
      <c r="U278" s="116"/>
      <c r="V278" s="116"/>
      <c r="W278" s="116"/>
      <c r="X278" s="116"/>
      <c r="Y278" s="116"/>
      <c r="Z278" s="116"/>
      <c r="AA278" s="116"/>
      <c r="AB278" s="116"/>
      <c r="AC278" s="116"/>
      <c r="AD278" s="299"/>
      <c r="AE278" s="299"/>
      <c r="AF278" s="299"/>
      <c r="AG278" s="299"/>
      <c r="AH278" s="299"/>
      <c r="AI278" s="299"/>
      <c r="AJ278" s="299"/>
      <c r="AK278" s="299"/>
      <c r="AL278" s="299"/>
      <c r="AM278" s="299"/>
      <c r="AN278" s="299"/>
      <c r="AO278" s="299"/>
      <c r="AP278" s="299"/>
      <c r="AQ278" s="299"/>
      <c r="AR278" s="299"/>
      <c r="AS278" s="103"/>
    </row>
    <row r="279" spans="2:45" x14ac:dyDescent="0.2">
      <c r="B279" s="299"/>
      <c r="C279" s="116"/>
      <c r="D279" s="116"/>
      <c r="E279" s="116"/>
      <c r="F279" s="116"/>
      <c r="G279" s="116"/>
      <c r="H279" s="478"/>
      <c r="I279" s="116"/>
      <c r="J279" s="116"/>
      <c r="K279" s="116"/>
      <c r="L279" s="116"/>
      <c r="M279" s="478"/>
      <c r="N279" s="116"/>
      <c r="O279" s="116"/>
      <c r="P279" s="116"/>
      <c r="Q279" s="116"/>
      <c r="R279" s="116"/>
      <c r="S279" s="116"/>
      <c r="T279" s="116"/>
      <c r="U279" s="116"/>
      <c r="V279" s="116"/>
      <c r="W279" s="116"/>
      <c r="X279" s="116"/>
      <c r="Y279" s="116"/>
      <c r="Z279" s="116"/>
      <c r="AA279" s="116"/>
      <c r="AB279" s="116"/>
      <c r="AC279" s="116"/>
      <c r="AD279" s="299"/>
      <c r="AE279" s="299"/>
      <c r="AF279" s="299"/>
      <c r="AG279" s="299"/>
      <c r="AH279" s="299"/>
      <c r="AI279" s="299"/>
      <c r="AJ279" s="299"/>
      <c r="AK279" s="299"/>
      <c r="AL279" s="299"/>
      <c r="AM279" s="299"/>
      <c r="AN279" s="299"/>
      <c r="AO279" s="299"/>
      <c r="AP279" s="299"/>
      <c r="AQ279" s="299"/>
      <c r="AR279" s="299"/>
      <c r="AS279" s="103"/>
    </row>
    <row r="280" spans="2:45" x14ac:dyDescent="0.2">
      <c r="B280" s="299"/>
      <c r="C280" s="116"/>
      <c r="D280" s="116"/>
      <c r="E280" s="116"/>
      <c r="F280" s="116"/>
      <c r="G280" s="116"/>
      <c r="H280" s="478"/>
      <c r="I280" s="116"/>
      <c r="J280" s="116"/>
      <c r="K280" s="116"/>
      <c r="L280" s="116"/>
      <c r="M280" s="478"/>
      <c r="N280" s="116"/>
      <c r="O280" s="116"/>
      <c r="P280" s="116"/>
      <c r="Q280" s="116"/>
      <c r="R280" s="116"/>
      <c r="S280" s="116"/>
      <c r="T280" s="116"/>
      <c r="U280" s="116"/>
      <c r="V280" s="116"/>
      <c r="W280" s="116"/>
      <c r="X280" s="116"/>
      <c r="Y280" s="116"/>
      <c r="Z280" s="116"/>
      <c r="AA280" s="116"/>
      <c r="AB280" s="116"/>
      <c r="AC280" s="116"/>
      <c r="AD280" s="299"/>
      <c r="AE280" s="299"/>
      <c r="AF280" s="299"/>
      <c r="AG280" s="299"/>
      <c r="AH280" s="299"/>
      <c r="AI280" s="299"/>
      <c r="AJ280" s="299"/>
      <c r="AK280" s="299"/>
      <c r="AL280" s="299"/>
      <c r="AM280" s="299"/>
      <c r="AN280" s="299"/>
      <c r="AO280" s="299"/>
      <c r="AP280" s="299"/>
      <c r="AQ280" s="299"/>
      <c r="AR280" s="299"/>
      <c r="AS280" s="103"/>
    </row>
    <row r="281" spans="2:45" x14ac:dyDescent="0.2">
      <c r="B281" s="299"/>
      <c r="C281" s="116"/>
      <c r="D281" s="116"/>
      <c r="E281" s="116"/>
      <c r="F281" s="116"/>
      <c r="G281" s="116"/>
      <c r="H281" s="478"/>
      <c r="I281" s="116"/>
      <c r="J281" s="116"/>
      <c r="K281" s="116"/>
      <c r="L281" s="116"/>
      <c r="M281" s="478"/>
      <c r="N281" s="116"/>
      <c r="O281" s="116"/>
      <c r="P281" s="116"/>
      <c r="Q281" s="116"/>
      <c r="R281" s="116"/>
      <c r="S281" s="116"/>
      <c r="T281" s="116"/>
      <c r="U281" s="116"/>
      <c r="V281" s="116"/>
      <c r="W281" s="116"/>
      <c r="X281" s="116"/>
      <c r="Y281" s="116"/>
      <c r="Z281" s="116"/>
      <c r="AA281" s="116"/>
      <c r="AB281" s="116"/>
      <c r="AC281" s="116"/>
      <c r="AD281" s="299"/>
      <c r="AE281" s="299"/>
      <c r="AF281" s="299"/>
      <c r="AG281" s="299"/>
      <c r="AH281" s="299"/>
      <c r="AI281" s="299"/>
      <c r="AJ281" s="299"/>
      <c r="AK281" s="299"/>
      <c r="AL281" s="299"/>
      <c r="AM281" s="299"/>
      <c r="AN281" s="299"/>
      <c r="AO281" s="299"/>
      <c r="AP281" s="299"/>
      <c r="AQ281" s="299"/>
      <c r="AR281" s="299"/>
      <c r="AS281" s="103"/>
    </row>
    <row r="282" spans="2:45" x14ac:dyDescent="0.2">
      <c r="B282" s="299"/>
      <c r="C282" s="116"/>
      <c r="D282" s="116"/>
      <c r="E282" s="116"/>
      <c r="F282" s="116"/>
      <c r="G282" s="116"/>
      <c r="H282" s="478"/>
      <c r="I282" s="116"/>
      <c r="J282" s="116"/>
      <c r="K282" s="116"/>
      <c r="L282" s="116"/>
      <c r="M282" s="478"/>
      <c r="N282" s="116"/>
      <c r="O282" s="116"/>
      <c r="P282" s="116"/>
      <c r="Q282" s="116"/>
      <c r="R282" s="116"/>
      <c r="S282" s="116"/>
      <c r="T282" s="116"/>
      <c r="U282" s="116"/>
      <c r="V282" s="116"/>
      <c r="W282" s="116"/>
      <c r="X282" s="116"/>
      <c r="Y282" s="116"/>
      <c r="Z282" s="116"/>
      <c r="AA282" s="116"/>
      <c r="AB282" s="116"/>
      <c r="AC282" s="116"/>
      <c r="AD282" s="299"/>
      <c r="AE282" s="299"/>
      <c r="AF282" s="299"/>
      <c r="AG282" s="299"/>
      <c r="AH282" s="299"/>
      <c r="AI282" s="299"/>
      <c r="AJ282" s="299"/>
      <c r="AK282" s="299"/>
      <c r="AL282" s="299"/>
      <c r="AM282" s="299"/>
      <c r="AN282" s="299"/>
      <c r="AO282" s="299"/>
      <c r="AP282" s="299"/>
      <c r="AQ282" s="299"/>
      <c r="AR282" s="299"/>
      <c r="AS282" s="103"/>
    </row>
    <row r="283" spans="2:45" x14ac:dyDescent="0.2">
      <c r="B283" s="299"/>
      <c r="C283" s="116"/>
      <c r="D283" s="116"/>
      <c r="E283" s="116"/>
      <c r="F283" s="116"/>
      <c r="G283" s="116"/>
      <c r="H283" s="478"/>
      <c r="I283" s="116"/>
      <c r="J283" s="116"/>
      <c r="K283" s="116"/>
      <c r="L283" s="116"/>
      <c r="M283" s="478"/>
      <c r="N283" s="116"/>
      <c r="O283" s="116"/>
      <c r="P283" s="116"/>
      <c r="Q283" s="116"/>
      <c r="R283" s="116"/>
      <c r="S283" s="116"/>
      <c r="T283" s="116"/>
      <c r="U283" s="116"/>
      <c r="V283" s="116"/>
      <c r="W283" s="116"/>
      <c r="X283" s="116"/>
      <c r="Y283" s="116"/>
      <c r="Z283" s="116"/>
      <c r="AA283" s="116"/>
      <c r="AB283" s="116"/>
      <c r="AC283" s="116"/>
      <c r="AD283" s="299"/>
      <c r="AE283" s="299"/>
      <c r="AF283" s="299"/>
      <c r="AG283" s="299"/>
      <c r="AH283" s="299"/>
      <c r="AI283" s="299"/>
      <c r="AJ283" s="299"/>
      <c r="AK283" s="299"/>
      <c r="AL283" s="299"/>
      <c r="AM283" s="299"/>
      <c r="AN283" s="299"/>
      <c r="AO283" s="299"/>
      <c r="AP283" s="299"/>
      <c r="AQ283" s="299"/>
      <c r="AR283" s="299"/>
      <c r="AS283" s="103"/>
    </row>
    <row r="284" spans="2:45" x14ac:dyDescent="0.2">
      <c r="B284" s="299"/>
      <c r="C284" s="116"/>
      <c r="D284" s="116"/>
      <c r="E284" s="116"/>
      <c r="F284" s="116"/>
      <c r="G284" s="116"/>
      <c r="H284" s="478"/>
      <c r="I284" s="116"/>
      <c r="J284" s="116"/>
      <c r="K284" s="116"/>
      <c r="L284" s="116"/>
      <c r="M284" s="478"/>
      <c r="N284" s="116"/>
      <c r="O284" s="116"/>
      <c r="P284" s="116"/>
      <c r="Q284" s="116"/>
      <c r="R284" s="116"/>
      <c r="S284" s="116"/>
      <c r="T284" s="116"/>
      <c r="U284" s="116"/>
      <c r="V284" s="116"/>
      <c r="W284" s="116"/>
      <c r="X284" s="116"/>
      <c r="Y284" s="116"/>
      <c r="Z284" s="116"/>
      <c r="AA284" s="116"/>
      <c r="AB284" s="116"/>
      <c r="AC284" s="116"/>
      <c r="AD284" s="299"/>
      <c r="AE284" s="299"/>
      <c r="AF284" s="299"/>
      <c r="AG284" s="299"/>
      <c r="AH284" s="299"/>
      <c r="AI284" s="299"/>
      <c r="AJ284" s="299"/>
      <c r="AK284" s="299"/>
      <c r="AL284" s="299"/>
      <c r="AM284" s="299"/>
      <c r="AN284" s="299"/>
      <c r="AO284" s="299"/>
      <c r="AP284" s="299"/>
      <c r="AQ284" s="299"/>
      <c r="AR284" s="299"/>
      <c r="AS284" s="103"/>
    </row>
    <row r="285" spans="2:45" x14ac:dyDescent="0.2">
      <c r="B285" s="299"/>
      <c r="C285" s="299"/>
      <c r="D285" s="299"/>
      <c r="E285" s="299"/>
      <c r="F285" s="299"/>
      <c r="G285" s="299"/>
      <c r="H285" s="479"/>
      <c r="I285" s="299"/>
      <c r="J285" s="299"/>
      <c r="K285" s="299"/>
      <c r="L285" s="299"/>
      <c r="M285" s="47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103"/>
    </row>
    <row r="286" spans="2:45" x14ac:dyDescent="0.2">
      <c r="B286" s="299"/>
      <c r="C286" s="299"/>
      <c r="D286" s="299"/>
      <c r="E286" s="299"/>
      <c r="F286" s="299"/>
      <c r="G286" s="299"/>
      <c r="H286" s="479"/>
      <c r="I286" s="299"/>
      <c r="J286" s="299"/>
      <c r="K286" s="299"/>
      <c r="L286" s="299"/>
      <c r="M286" s="47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103"/>
    </row>
    <row r="287" spans="2:45" x14ac:dyDescent="0.2">
      <c r="B287" s="299"/>
      <c r="C287" s="299"/>
      <c r="D287" s="299"/>
      <c r="E287" s="299"/>
      <c r="F287" s="299"/>
      <c r="G287" s="299"/>
      <c r="H287" s="479"/>
      <c r="I287" s="299"/>
      <c r="J287" s="299"/>
      <c r="K287" s="299"/>
      <c r="L287" s="299"/>
      <c r="M287" s="47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103"/>
    </row>
    <row r="288" spans="2:45" x14ac:dyDescent="0.2">
      <c r="B288" s="299"/>
      <c r="C288" s="299"/>
      <c r="D288" s="299"/>
      <c r="E288" s="299"/>
      <c r="F288" s="299"/>
      <c r="G288" s="299"/>
      <c r="H288" s="479"/>
      <c r="I288" s="299"/>
      <c r="J288" s="299"/>
      <c r="K288" s="299"/>
      <c r="L288" s="299"/>
      <c r="M288" s="47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103"/>
    </row>
    <row r="289" spans="2:45" x14ac:dyDescent="0.2">
      <c r="B289" s="299"/>
      <c r="C289" s="299"/>
      <c r="D289" s="299"/>
      <c r="E289" s="299"/>
      <c r="F289" s="299"/>
      <c r="G289" s="299"/>
      <c r="H289" s="479"/>
      <c r="I289" s="299"/>
      <c r="J289" s="299"/>
      <c r="K289" s="299"/>
      <c r="L289" s="299"/>
      <c r="M289" s="47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103"/>
    </row>
    <row r="290" spans="2:45" x14ac:dyDescent="0.2">
      <c r="B290" s="299"/>
      <c r="C290" s="299"/>
      <c r="D290" s="299"/>
      <c r="E290" s="299"/>
      <c r="F290" s="299"/>
      <c r="G290" s="299"/>
      <c r="H290" s="479"/>
      <c r="I290" s="299"/>
      <c r="J290" s="299"/>
      <c r="K290" s="299"/>
      <c r="L290" s="299"/>
      <c r="M290" s="47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103"/>
    </row>
    <row r="291" spans="2:45" x14ac:dyDescent="0.2">
      <c r="B291" s="299"/>
      <c r="C291" s="299"/>
      <c r="D291" s="299"/>
      <c r="E291" s="299"/>
      <c r="F291" s="299"/>
      <c r="G291" s="299"/>
      <c r="H291" s="479"/>
      <c r="I291" s="299"/>
      <c r="J291" s="299"/>
      <c r="K291" s="299"/>
      <c r="L291" s="299"/>
      <c r="M291" s="47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103"/>
    </row>
    <row r="292" spans="2:45" x14ac:dyDescent="0.2">
      <c r="B292" s="299"/>
      <c r="C292" s="299"/>
      <c r="D292" s="299"/>
      <c r="E292" s="299"/>
      <c r="F292" s="299"/>
      <c r="G292" s="299"/>
      <c r="H292" s="479"/>
      <c r="I292" s="299"/>
      <c r="J292" s="299"/>
      <c r="K292" s="299"/>
      <c r="L292" s="299"/>
      <c r="M292" s="47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103"/>
    </row>
    <row r="293" spans="2:45" x14ac:dyDescent="0.2">
      <c r="B293" s="299"/>
      <c r="C293" s="299"/>
      <c r="D293" s="299"/>
      <c r="E293" s="299"/>
      <c r="F293" s="299"/>
      <c r="G293" s="299"/>
      <c r="H293" s="479"/>
      <c r="I293" s="299"/>
      <c r="J293" s="299"/>
      <c r="K293" s="299"/>
      <c r="L293" s="299"/>
      <c r="M293" s="47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103"/>
    </row>
    <row r="294" spans="2:45" x14ac:dyDescent="0.2">
      <c r="B294" s="299"/>
      <c r="C294" s="299"/>
      <c r="D294" s="299"/>
      <c r="E294" s="299"/>
      <c r="F294" s="299"/>
      <c r="G294" s="299"/>
      <c r="H294" s="479"/>
      <c r="I294" s="299"/>
      <c r="J294" s="299"/>
      <c r="K294" s="299"/>
      <c r="L294" s="299"/>
      <c r="M294" s="47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103"/>
    </row>
    <row r="295" spans="2:45" x14ac:dyDescent="0.2">
      <c r="B295" s="299"/>
      <c r="C295" s="299"/>
      <c r="D295" s="299"/>
      <c r="E295" s="299"/>
      <c r="F295" s="299"/>
      <c r="G295" s="299"/>
      <c r="H295" s="479"/>
      <c r="I295" s="299"/>
      <c r="J295" s="299"/>
      <c r="K295" s="299"/>
      <c r="L295" s="299"/>
      <c r="M295" s="47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103"/>
    </row>
    <row r="296" spans="2:45" x14ac:dyDescent="0.2">
      <c r="B296" s="299"/>
      <c r="C296" s="299"/>
      <c r="D296" s="299"/>
      <c r="E296" s="299"/>
      <c r="F296" s="299"/>
      <c r="G296" s="299"/>
      <c r="H296" s="479"/>
      <c r="I296" s="299"/>
      <c r="J296" s="299"/>
      <c r="K296" s="299"/>
      <c r="L296" s="299"/>
      <c r="M296" s="47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103"/>
    </row>
    <row r="297" spans="2:45" x14ac:dyDescent="0.2">
      <c r="B297" s="299"/>
      <c r="C297" s="299"/>
      <c r="D297" s="299"/>
      <c r="E297" s="299"/>
      <c r="F297" s="299"/>
      <c r="G297" s="299"/>
      <c r="H297" s="479"/>
      <c r="I297" s="299"/>
      <c r="J297" s="299"/>
      <c r="K297" s="299"/>
      <c r="L297" s="299"/>
      <c r="M297" s="47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103"/>
    </row>
    <row r="298" spans="2:45" x14ac:dyDescent="0.2">
      <c r="B298" s="299"/>
      <c r="C298" s="299"/>
      <c r="D298" s="299"/>
      <c r="E298" s="299"/>
      <c r="F298" s="299"/>
      <c r="G298" s="299"/>
      <c r="H298" s="479"/>
      <c r="I298" s="299"/>
      <c r="J298" s="299"/>
      <c r="K298" s="299"/>
      <c r="L298" s="299"/>
      <c r="M298" s="47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103"/>
    </row>
    <row r="299" spans="2:45" x14ac:dyDescent="0.2">
      <c r="B299" s="299"/>
      <c r="C299" s="299"/>
      <c r="D299" s="299"/>
      <c r="E299" s="299"/>
      <c r="F299" s="299"/>
      <c r="G299" s="299"/>
      <c r="H299" s="479"/>
      <c r="I299" s="299"/>
      <c r="J299" s="299"/>
      <c r="K299" s="299"/>
      <c r="L299" s="299"/>
      <c r="M299" s="47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103"/>
    </row>
    <row r="300" spans="2:45" x14ac:dyDescent="0.2">
      <c r="B300" s="299"/>
      <c r="C300" s="299"/>
      <c r="D300" s="299"/>
      <c r="E300" s="299"/>
      <c r="F300" s="299"/>
      <c r="G300" s="299"/>
      <c r="H300" s="479"/>
      <c r="I300" s="299"/>
      <c r="J300" s="299"/>
      <c r="K300" s="299"/>
      <c r="L300" s="299"/>
      <c r="M300" s="47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103"/>
    </row>
    <row r="301" spans="2:45" x14ac:dyDescent="0.2">
      <c r="B301" s="299"/>
      <c r="C301" s="299"/>
      <c r="D301" s="299"/>
      <c r="E301" s="299"/>
      <c r="F301" s="299"/>
      <c r="G301" s="299"/>
      <c r="H301" s="479"/>
      <c r="I301" s="299"/>
      <c r="J301" s="299"/>
      <c r="K301" s="299"/>
      <c r="L301" s="299"/>
      <c r="M301" s="47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103"/>
    </row>
    <row r="302" spans="2:45" x14ac:dyDescent="0.2">
      <c r="B302" s="299"/>
      <c r="C302" s="299"/>
      <c r="D302" s="299"/>
      <c r="E302" s="299"/>
      <c r="F302" s="299"/>
      <c r="G302" s="299"/>
      <c r="H302" s="479"/>
      <c r="I302" s="299"/>
      <c r="J302" s="299"/>
      <c r="K302" s="299"/>
      <c r="L302" s="299"/>
      <c r="M302" s="47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103"/>
    </row>
    <row r="303" spans="2:45" x14ac:dyDescent="0.2">
      <c r="B303" s="299"/>
      <c r="C303" s="299"/>
      <c r="D303" s="299"/>
      <c r="E303" s="299"/>
      <c r="F303" s="299"/>
      <c r="G303" s="299"/>
      <c r="H303" s="479"/>
      <c r="I303" s="299"/>
      <c r="J303" s="299"/>
      <c r="K303" s="299"/>
      <c r="L303" s="299"/>
      <c r="M303" s="47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103"/>
    </row>
    <row r="304" spans="2:45" x14ac:dyDescent="0.2">
      <c r="B304" s="299"/>
      <c r="C304" s="299"/>
      <c r="D304" s="299"/>
      <c r="E304" s="299"/>
      <c r="F304" s="299"/>
      <c r="G304" s="299"/>
      <c r="H304" s="479"/>
      <c r="I304" s="299"/>
      <c r="J304" s="299"/>
      <c r="K304" s="299"/>
      <c r="L304" s="299"/>
      <c r="M304" s="47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103"/>
    </row>
    <row r="305" spans="2:45" x14ac:dyDescent="0.2">
      <c r="B305" s="299"/>
      <c r="C305" s="299"/>
      <c r="D305" s="299"/>
      <c r="E305" s="299"/>
      <c r="F305" s="299"/>
      <c r="G305" s="299"/>
      <c r="H305" s="479"/>
      <c r="I305" s="299"/>
      <c r="J305" s="299"/>
      <c r="K305" s="299"/>
      <c r="L305" s="299"/>
      <c r="M305" s="47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103"/>
    </row>
    <row r="306" spans="2:45" x14ac:dyDescent="0.2">
      <c r="B306" s="299"/>
      <c r="C306" s="299"/>
      <c r="D306" s="299"/>
      <c r="E306" s="299"/>
      <c r="F306" s="299"/>
      <c r="G306" s="299"/>
      <c r="H306" s="479"/>
      <c r="I306" s="299"/>
      <c r="J306" s="299"/>
      <c r="K306" s="299"/>
      <c r="L306" s="299"/>
      <c r="M306" s="47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103"/>
    </row>
    <row r="307" spans="2:45" x14ac:dyDescent="0.2">
      <c r="B307" s="299"/>
      <c r="C307" s="299"/>
      <c r="D307" s="299"/>
      <c r="E307" s="299"/>
      <c r="F307" s="299"/>
      <c r="G307" s="299"/>
      <c r="H307" s="479"/>
      <c r="I307" s="299"/>
      <c r="J307" s="299"/>
      <c r="K307" s="299"/>
      <c r="L307" s="299"/>
      <c r="M307" s="47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103"/>
    </row>
    <row r="308" spans="2:45" x14ac:dyDescent="0.2">
      <c r="B308" s="299"/>
      <c r="C308" s="299"/>
      <c r="D308" s="299"/>
      <c r="E308" s="299"/>
      <c r="F308" s="299"/>
      <c r="G308" s="299"/>
      <c r="H308" s="479"/>
      <c r="I308" s="299"/>
      <c r="J308" s="299"/>
      <c r="K308" s="299"/>
      <c r="L308" s="299"/>
      <c r="M308" s="47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103"/>
    </row>
    <row r="309" spans="2:45" x14ac:dyDescent="0.2">
      <c r="B309" s="299"/>
      <c r="C309" s="299"/>
      <c r="D309" s="299"/>
      <c r="E309" s="299"/>
      <c r="F309" s="299"/>
      <c r="G309" s="299"/>
      <c r="H309" s="479"/>
      <c r="I309" s="299"/>
      <c r="J309" s="299"/>
      <c r="K309" s="299"/>
      <c r="L309" s="299"/>
      <c r="M309" s="47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103"/>
    </row>
    <row r="310" spans="2:45" x14ac:dyDescent="0.2">
      <c r="B310" s="299"/>
      <c r="C310" s="299"/>
      <c r="D310" s="299"/>
      <c r="E310" s="299"/>
      <c r="F310" s="299"/>
      <c r="G310" s="299"/>
      <c r="H310" s="479"/>
      <c r="I310" s="299"/>
      <c r="J310" s="299"/>
      <c r="K310" s="299"/>
      <c r="L310" s="299"/>
      <c r="M310" s="47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103"/>
    </row>
    <row r="311" spans="2:45" x14ac:dyDescent="0.2">
      <c r="C311" s="299"/>
      <c r="D311" s="299"/>
      <c r="E311" s="299"/>
      <c r="F311" s="299"/>
      <c r="G311" s="299"/>
      <c r="H311" s="479"/>
      <c r="I311" s="299"/>
      <c r="J311" s="299"/>
      <c r="K311" s="299"/>
      <c r="L311" s="299"/>
      <c r="M311" s="47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103"/>
    </row>
    <row r="312" spans="2:45" x14ac:dyDescent="0.2">
      <c r="C312" s="299"/>
      <c r="D312" s="299"/>
      <c r="E312" s="299"/>
      <c r="F312" s="299"/>
      <c r="G312" s="299"/>
      <c r="H312" s="479"/>
      <c r="I312" s="299"/>
      <c r="J312" s="299"/>
      <c r="K312" s="299"/>
      <c r="L312" s="299"/>
      <c r="M312" s="47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103"/>
    </row>
    <row r="313" spans="2:45" x14ac:dyDescent="0.2">
      <c r="C313" s="299"/>
      <c r="D313" s="299"/>
      <c r="E313" s="299"/>
      <c r="F313" s="299"/>
      <c r="G313" s="299"/>
      <c r="H313" s="479"/>
      <c r="I313" s="299"/>
      <c r="J313" s="299"/>
      <c r="K313" s="299"/>
      <c r="L313" s="299"/>
      <c r="M313" s="47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103"/>
    </row>
    <row r="314" spans="2:45" x14ac:dyDescent="0.2">
      <c r="C314" s="299"/>
      <c r="D314" s="299"/>
      <c r="E314" s="299"/>
      <c r="F314" s="299"/>
      <c r="G314" s="299"/>
      <c r="H314" s="479"/>
      <c r="I314" s="299"/>
      <c r="J314" s="299"/>
      <c r="K314" s="299"/>
      <c r="L314" s="299"/>
      <c r="M314" s="47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103"/>
    </row>
    <row r="315" spans="2:45" x14ac:dyDescent="0.2">
      <c r="C315" s="299"/>
      <c r="D315" s="299"/>
      <c r="E315" s="299"/>
      <c r="F315" s="299"/>
      <c r="G315" s="299"/>
      <c r="H315" s="479"/>
      <c r="I315" s="299"/>
      <c r="J315" s="299"/>
      <c r="K315" s="299"/>
      <c r="L315" s="299"/>
      <c r="M315" s="47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103"/>
    </row>
    <row r="316" spans="2:45" x14ac:dyDescent="0.2">
      <c r="C316" s="299"/>
      <c r="D316" s="299"/>
      <c r="E316" s="299"/>
      <c r="F316" s="299"/>
      <c r="G316" s="299"/>
      <c r="H316" s="479"/>
      <c r="I316" s="299"/>
      <c r="J316" s="299"/>
      <c r="K316" s="299"/>
      <c r="L316" s="299"/>
      <c r="M316" s="47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103"/>
    </row>
    <row r="317" spans="2:45" x14ac:dyDescent="0.2">
      <c r="C317" s="103"/>
      <c r="D317" s="103"/>
      <c r="E317" s="103"/>
      <c r="F317" s="103"/>
      <c r="G317" s="103"/>
      <c r="H317" s="104"/>
      <c r="I317" s="103"/>
      <c r="J317" s="103"/>
      <c r="K317" s="103"/>
      <c r="L317" s="103"/>
      <c r="M317" s="104"/>
      <c r="N317" s="103"/>
      <c r="O317" s="103"/>
      <c r="P317" s="103"/>
      <c r="Q317" s="103"/>
      <c r="R317" s="103"/>
      <c r="S317" s="103"/>
      <c r="T317" s="103"/>
      <c r="U317" s="103"/>
      <c r="V317" s="103"/>
      <c r="W317" s="103"/>
      <c r="X317" s="103"/>
      <c r="Y317" s="103"/>
      <c r="Z317" s="299"/>
      <c r="AA317" s="299"/>
      <c r="AB317" s="299"/>
      <c r="AC317" s="299"/>
      <c r="AD317" s="299"/>
      <c r="AE317" s="299"/>
      <c r="AF317" s="299"/>
      <c r="AG317" s="299"/>
      <c r="AH317" s="299"/>
      <c r="AI317" s="299"/>
      <c r="AJ317" s="299"/>
      <c r="AK317" s="299"/>
      <c r="AL317" s="299"/>
      <c r="AM317" s="299"/>
      <c r="AN317" s="299"/>
      <c r="AO317" s="299"/>
      <c r="AP317" s="299"/>
      <c r="AQ317" s="299"/>
      <c r="AR317" s="299"/>
      <c r="AS317" s="103"/>
    </row>
    <row r="318" spans="2:45" x14ac:dyDescent="0.2">
      <c r="C318" s="103"/>
      <c r="D318" s="103"/>
      <c r="E318" s="103"/>
      <c r="F318" s="103"/>
      <c r="G318" s="103"/>
      <c r="H318" s="104"/>
      <c r="I318" s="103"/>
      <c r="J318" s="103"/>
      <c r="K318" s="103"/>
      <c r="L318" s="103"/>
      <c r="M318" s="104"/>
      <c r="N318" s="103"/>
      <c r="O318" s="103"/>
      <c r="P318" s="103"/>
      <c r="Q318" s="103"/>
      <c r="R318" s="103"/>
      <c r="S318" s="103"/>
      <c r="T318" s="103"/>
      <c r="U318" s="103"/>
      <c r="V318" s="103"/>
      <c r="W318" s="103"/>
      <c r="X318" s="103"/>
      <c r="Y318" s="103"/>
      <c r="Z318" s="299"/>
      <c r="AA318" s="299"/>
      <c r="AB318" s="299"/>
      <c r="AC318" s="299"/>
      <c r="AD318" s="299"/>
      <c r="AE318" s="299"/>
      <c r="AF318" s="299"/>
      <c r="AG318" s="299"/>
      <c r="AH318" s="299"/>
      <c r="AI318" s="299"/>
      <c r="AJ318" s="299"/>
      <c r="AK318" s="299"/>
      <c r="AL318" s="299"/>
      <c r="AM318" s="299"/>
      <c r="AN318" s="299"/>
      <c r="AO318" s="299"/>
      <c r="AP318" s="299"/>
      <c r="AQ318" s="299"/>
      <c r="AR318" s="299"/>
      <c r="AS318" s="103"/>
    </row>
    <row r="319" spans="2:45" x14ac:dyDescent="0.2">
      <c r="C319" s="103"/>
      <c r="D319" s="103"/>
      <c r="E319" s="103"/>
      <c r="F319" s="103"/>
      <c r="G319" s="103"/>
      <c r="H319" s="104"/>
      <c r="I319" s="103"/>
      <c r="J319" s="103"/>
      <c r="K319" s="103"/>
      <c r="L319" s="103"/>
      <c r="M319" s="104"/>
      <c r="N319" s="103"/>
      <c r="O319" s="103"/>
      <c r="P319" s="103"/>
      <c r="Q319" s="103"/>
      <c r="R319" s="103"/>
      <c r="S319" s="103"/>
      <c r="T319" s="103"/>
      <c r="U319" s="103"/>
      <c r="V319" s="103"/>
      <c r="W319" s="103"/>
      <c r="X319" s="103"/>
      <c r="Y319" s="103"/>
      <c r="Z319" s="299"/>
      <c r="AA319" s="299"/>
      <c r="AB319" s="299"/>
      <c r="AC319" s="299"/>
      <c r="AD319" s="299"/>
      <c r="AE319" s="299"/>
      <c r="AF319" s="299"/>
      <c r="AG319" s="299"/>
      <c r="AH319" s="299"/>
      <c r="AI319" s="299"/>
      <c r="AJ319" s="299"/>
      <c r="AK319" s="299"/>
      <c r="AL319" s="299"/>
      <c r="AM319" s="299"/>
      <c r="AN319" s="299"/>
      <c r="AO319" s="299"/>
      <c r="AP319" s="299"/>
      <c r="AQ319" s="299"/>
      <c r="AR319" s="299"/>
      <c r="AS319" s="103"/>
    </row>
    <row r="320" spans="2:45" x14ac:dyDescent="0.2">
      <c r="C320" s="103"/>
      <c r="D320" s="103"/>
      <c r="E320" s="103"/>
      <c r="F320" s="103"/>
      <c r="G320" s="103"/>
      <c r="H320" s="104"/>
      <c r="I320" s="103"/>
      <c r="J320" s="103"/>
      <c r="K320" s="103"/>
      <c r="L320" s="103"/>
      <c r="M320" s="104"/>
      <c r="N320" s="103"/>
      <c r="O320" s="103"/>
      <c r="P320" s="103"/>
      <c r="Q320" s="103"/>
      <c r="R320" s="103"/>
      <c r="S320" s="103"/>
      <c r="T320" s="103"/>
      <c r="U320" s="103"/>
      <c r="V320" s="103"/>
      <c r="W320" s="103"/>
      <c r="X320" s="103"/>
      <c r="Y320" s="103"/>
      <c r="Z320" s="299"/>
      <c r="AA320" s="299"/>
      <c r="AB320" s="299"/>
      <c r="AC320" s="299"/>
      <c r="AD320" s="299"/>
      <c r="AE320" s="299"/>
      <c r="AF320" s="299"/>
      <c r="AG320" s="299"/>
      <c r="AH320" s="299"/>
      <c r="AI320" s="299"/>
      <c r="AJ320" s="299"/>
      <c r="AK320" s="299"/>
      <c r="AL320" s="299"/>
      <c r="AM320" s="299"/>
      <c r="AN320" s="299"/>
      <c r="AO320" s="299"/>
      <c r="AP320" s="299"/>
      <c r="AQ320" s="299"/>
      <c r="AR320" s="299"/>
      <c r="AS320" s="103"/>
    </row>
    <row r="321" spans="3:45" x14ac:dyDescent="0.2">
      <c r="C321" s="103"/>
      <c r="D321" s="103"/>
      <c r="E321" s="103"/>
      <c r="F321" s="103"/>
      <c r="G321" s="103"/>
      <c r="H321" s="104"/>
      <c r="I321" s="103"/>
      <c r="J321" s="103"/>
      <c r="K321" s="103"/>
      <c r="L321" s="103"/>
      <c r="M321" s="104"/>
      <c r="N321" s="103"/>
      <c r="O321" s="103"/>
      <c r="P321" s="103"/>
      <c r="Q321" s="103"/>
      <c r="R321" s="103"/>
      <c r="S321" s="103"/>
      <c r="T321" s="103"/>
      <c r="U321" s="103"/>
      <c r="V321" s="103"/>
      <c r="W321" s="103"/>
      <c r="X321" s="103"/>
      <c r="Y321" s="103"/>
      <c r="Z321" s="299"/>
      <c r="AA321" s="299"/>
      <c r="AB321" s="299"/>
      <c r="AC321" s="299"/>
      <c r="AD321" s="299"/>
      <c r="AE321" s="299"/>
      <c r="AF321" s="299"/>
      <c r="AG321" s="299"/>
      <c r="AH321" s="299"/>
      <c r="AI321" s="299"/>
      <c r="AJ321" s="299"/>
      <c r="AK321" s="299"/>
      <c r="AL321" s="299"/>
      <c r="AM321" s="299"/>
      <c r="AN321" s="299"/>
      <c r="AO321" s="299"/>
      <c r="AP321" s="299"/>
      <c r="AQ321" s="299"/>
      <c r="AR321" s="299"/>
      <c r="AS321" s="103"/>
    </row>
    <row r="322" spans="3:45" x14ac:dyDescent="0.2">
      <c r="C322" s="103"/>
      <c r="D322" s="103"/>
      <c r="E322" s="103"/>
      <c r="F322" s="103"/>
      <c r="G322" s="103"/>
      <c r="H322" s="104"/>
      <c r="I322" s="103"/>
      <c r="J322" s="103"/>
      <c r="K322" s="103"/>
      <c r="L322" s="103"/>
      <c r="M322" s="104"/>
      <c r="N322" s="103"/>
      <c r="O322" s="103"/>
      <c r="P322" s="103"/>
      <c r="Q322" s="103"/>
      <c r="R322" s="103"/>
      <c r="S322" s="103"/>
      <c r="T322" s="103"/>
      <c r="U322" s="103"/>
      <c r="V322" s="103"/>
      <c r="W322" s="103"/>
      <c r="X322" s="103"/>
      <c r="Y322" s="103"/>
      <c r="Z322" s="299"/>
      <c r="AA322" s="299"/>
      <c r="AB322" s="299"/>
      <c r="AC322" s="299"/>
      <c r="AD322" s="299"/>
      <c r="AE322" s="299"/>
      <c r="AF322" s="299"/>
      <c r="AG322" s="299"/>
      <c r="AH322" s="299"/>
      <c r="AI322" s="299"/>
      <c r="AJ322" s="299"/>
      <c r="AK322" s="299"/>
      <c r="AL322" s="299"/>
      <c r="AM322" s="299"/>
      <c r="AN322" s="299"/>
      <c r="AO322" s="299"/>
      <c r="AP322" s="299"/>
      <c r="AQ322" s="299"/>
      <c r="AR322" s="299"/>
      <c r="AS322" s="103"/>
    </row>
    <row r="323" spans="3:45" x14ac:dyDescent="0.2">
      <c r="C323" s="103"/>
      <c r="D323" s="103"/>
      <c r="E323" s="103"/>
      <c r="F323" s="103"/>
      <c r="G323" s="103"/>
      <c r="H323" s="104"/>
      <c r="I323" s="103"/>
      <c r="J323" s="103"/>
      <c r="K323" s="103"/>
      <c r="L323" s="103"/>
      <c r="M323" s="104"/>
      <c r="N323" s="103"/>
      <c r="O323" s="103"/>
      <c r="P323" s="103"/>
      <c r="Q323" s="103"/>
      <c r="R323" s="103"/>
      <c r="S323" s="103"/>
      <c r="T323" s="103"/>
      <c r="U323" s="103"/>
      <c r="V323" s="103"/>
      <c r="W323" s="103"/>
      <c r="X323" s="103"/>
      <c r="Y323" s="103"/>
      <c r="Z323" s="299"/>
      <c r="AA323" s="299"/>
      <c r="AB323" s="299"/>
      <c r="AC323" s="299"/>
      <c r="AD323" s="299"/>
      <c r="AE323" s="299"/>
      <c r="AF323" s="299"/>
      <c r="AG323" s="299"/>
      <c r="AH323" s="299"/>
      <c r="AI323" s="299"/>
      <c r="AJ323" s="299"/>
      <c r="AK323" s="299"/>
      <c r="AL323" s="299"/>
      <c r="AM323" s="299"/>
      <c r="AN323" s="299"/>
      <c r="AO323" s="299"/>
      <c r="AP323" s="299"/>
      <c r="AQ323" s="299"/>
      <c r="AR323" s="299"/>
      <c r="AS323" s="103"/>
    </row>
    <row r="324" spans="3:45" x14ac:dyDescent="0.2">
      <c r="C324" s="103"/>
      <c r="D324" s="103"/>
      <c r="E324" s="103"/>
      <c r="F324" s="103"/>
      <c r="G324" s="103"/>
      <c r="H324" s="104"/>
      <c r="I324" s="103"/>
      <c r="J324" s="103"/>
      <c r="K324" s="103"/>
      <c r="L324" s="103"/>
      <c r="M324" s="104"/>
      <c r="N324" s="103"/>
      <c r="O324" s="103"/>
      <c r="P324" s="103"/>
      <c r="Q324" s="103"/>
      <c r="R324" s="103"/>
      <c r="S324" s="103"/>
      <c r="T324" s="103"/>
      <c r="U324" s="103"/>
      <c r="V324" s="103"/>
      <c r="W324" s="103"/>
      <c r="X324" s="103"/>
      <c r="Y324" s="103"/>
      <c r="Z324" s="299"/>
      <c r="AA324" s="299"/>
      <c r="AB324" s="299"/>
      <c r="AC324" s="299"/>
      <c r="AD324" s="299"/>
      <c r="AE324" s="299"/>
      <c r="AF324" s="299"/>
      <c r="AG324" s="299"/>
      <c r="AH324" s="299"/>
      <c r="AI324" s="299"/>
      <c r="AJ324" s="299"/>
      <c r="AK324" s="299"/>
      <c r="AL324" s="299"/>
      <c r="AM324" s="299"/>
      <c r="AN324" s="299"/>
      <c r="AO324" s="299"/>
      <c r="AP324" s="299"/>
      <c r="AQ324" s="299"/>
      <c r="AR324" s="299"/>
      <c r="AS324" s="103"/>
    </row>
    <row r="325" spans="3:45" x14ac:dyDescent="0.2">
      <c r="C325" s="103"/>
      <c r="D325" s="103"/>
      <c r="E325" s="103"/>
      <c r="F325" s="103"/>
      <c r="G325" s="103"/>
      <c r="H325" s="104"/>
      <c r="I325" s="103"/>
      <c r="J325" s="103"/>
      <c r="K325" s="103"/>
      <c r="L325" s="103"/>
      <c r="M325" s="104"/>
      <c r="N325" s="103"/>
      <c r="O325" s="103"/>
      <c r="P325" s="103"/>
      <c r="Q325" s="103"/>
      <c r="R325" s="103"/>
      <c r="S325" s="103"/>
      <c r="T325" s="103"/>
      <c r="U325" s="103"/>
      <c r="V325" s="103"/>
      <c r="W325" s="103"/>
      <c r="X325" s="103"/>
      <c r="Y325" s="103"/>
      <c r="Z325" s="299"/>
      <c r="AA325" s="299"/>
      <c r="AB325" s="299"/>
      <c r="AC325" s="299"/>
      <c r="AD325" s="299"/>
      <c r="AE325" s="299"/>
      <c r="AF325" s="299"/>
      <c r="AG325" s="299"/>
      <c r="AH325" s="299"/>
      <c r="AI325" s="299"/>
      <c r="AJ325" s="299"/>
      <c r="AK325" s="299"/>
      <c r="AL325" s="299"/>
      <c r="AM325" s="299"/>
      <c r="AN325" s="299"/>
      <c r="AO325" s="299"/>
      <c r="AP325" s="299"/>
      <c r="AQ325" s="299"/>
      <c r="AR325" s="299"/>
      <c r="AS325" s="103"/>
    </row>
    <row r="326" spans="3:45" x14ac:dyDescent="0.2">
      <c r="C326" s="103"/>
      <c r="D326" s="103"/>
      <c r="E326" s="103"/>
      <c r="F326" s="103"/>
      <c r="G326" s="103"/>
      <c r="H326" s="104"/>
      <c r="I326" s="103"/>
      <c r="J326" s="103"/>
      <c r="K326" s="103"/>
      <c r="L326" s="103"/>
      <c r="M326" s="104"/>
      <c r="N326" s="103"/>
      <c r="O326" s="103"/>
      <c r="P326" s="103"/>
      <c r="Q326" s="103"/>
      <c r="R326" s="103"/>
      <c r="S326" s="103"/>
      <c r="T326" s="103"/>
      <c r="U326" s="103"/>
      <c r="V326" s="103"/>
      <c r="W326" s="103"/>
      <c r="X326" s="103"/>
      <c r="Y326" s="103"/>
      <c r="Z326" s="299"/>
      <c r="AA326" s="299"/>
      <c r="AB326" s="299"/>
      <c r="AC326" s="299"/>
      <c r="AD326" s="299"/>
      <c r="AE326" s="299"/>
      <c r="AF326" s="299"/>
      <c r="AG326" s="299"/>
      <c r="AH326" s="299"/>
      <c r="AI326" s="299"/>
      <c r="AJ326" s="299"/>
      <c r="AK326" s="299"/>
      <c r="AL326" s="299"/>
      <c r="AM326" s="299"/>
      <c r="AN326" s="299"/>
      <c r="AO326" s="299"/>
      <c r="AP326" s="299"/>
      <c r="AQ326" s="299"/>
      <c r="AR326" s="299"/>
      <c r="AS326" s="103"/>
    </row>
    <row r="327" spans="3:45" x14ac:dyDescent="0.2">
      <c r="C327" s="103"/>
      <c r="D327" s="103"/>
      <c r="E327" s="103"/>
      <c r="F327" s="103"/>
      <c r="G327" s="103"/>
      <c r="H327" s="104"/>
      <c r="I327" s="103"/>
      <c r="J327" s="103"/>
      <c r="K327" s="103"/>
      <c r="L327" s="103"/>
      <c r="M327" s="104"/>
      <c r="N327" s="103"/>
      <c r="O327" s="103"/>
      <c r="P327" s="103"/>
      <c r="Q327" s="103"/>
      <c r="R327" s="103"/>
      <c r="S327" s="103"/>
      <c r="T327" s="103"/>
      <c r="U327" s="103"/>
      <c r="V327" s="103"/>
      <c r="W327" s="103"/>
      <c r="X327" s="103"/>
      <c r="Y327" s="103"/>
      <c r="Z327" s="299"/>
      <c r="AA327" s="299"/>
      <c r="AB327" s="299"/>
      <c r="AC327" s="299"/>
      <c r="AD327" s="299"/>
      <c r="AE327" s="299"/>
      <c r="AF327" s="299"/>
      <c r="AG327" s="299"/>
      <c r="AH327" s="299"/>
      <c r="AI327" s="299"/>
      <c r="AJ327" s="299"/>
      <c r="AK327" s="299"/>
      <c r="AL327" s="299"/>
      <c r="AM327" s="299"/>
      <c r="AN327" s="299"/>
      <c r="AO327" s="299"/>
      <c r="AP327" s="299"/>
      <c r="AQ327" s="299"/>
      <c r="AR327" s="299"/>
    </row>
    <row r="328" spans="3:45" x14ac:dyDescent="0.2">
      <c r="C328" s="103"/>
      <c r="D328" s="103"/>
      <c r="E328" s="103"/>
      <c r="F328" s="103"/>
      <c r="G328" s="103"/>
      <c r="H328" s="104"/>
      <c r="I328" s="103"/>
      <c r="J328" s="103"/>
      <c r="K328" s="103"/>
      <c r="L328" s="103"/>
      <c r="M328" s="104"/>
      <c r="N328" s="103"/>
      <c r="O328" s="103"/>
      <c r="P328" s="103"/>
      <c r="Q328" s="103"/>
      <c r="R328" s="103"/>
      <c r="S328" s="103"/>
      <c r="T328" s="103"/>
      <c r="U328" s="103"/>
      <c r="V328" s="103"/>
      <c r="W328" s="103"/>
      <c r="X328" s="103"/>
      <c r="Y328" s="103"/>
      <c r="Z328" s="299"/>
      <c r="AA328" s="299"/>
      <c r="AB328" s="299"/>
      <c r="AC328" s="299"/>
      <c r="AD328" s="299"/>
      <c r="AE328" s="299"/>
      <c r="AF328" s="299"/>
      <c r="AG328" s="299"/>
      <c r="AH328" s="299"/>
      <c r="AI328" s="299"/>
      <c r="AJ328" s="299"/>
      <c r="AK328" s="299"/>
      <c r="AL328" s="299"/>
      <c r="AM328" s="299"/>
      <c r="AN328" s="299"/>
      <c r="AO328" s="299"/>
      <c r="AP328" s="299"/>
      <c r="AQ328" s="299"/>
      <c r="AR328" s="299"/>
    </row>
    <row r="329" spans="3:45" x14ac:dyDescent="0.2">
      <c r="C329" s="103"/>
      <c r="D329" s="103"/>
      <c r="E329" s="103"/>
      <c r="F329" s="103"/>
      <c r="G329" s="103"/>
      <c r="H329" s="104"/>
      <c r="I329" s="103"/>
      <c r="J329" s="103"/>
      <c r="K329" s="103"/>
      <c r="L329" s="103"/>
      <c r="M329" s="104"/>
      <c r="N329" s="103"/>
      <c r="O329" s="103"/>
      <c r="P329" s="103"/>
      <c r="Q329" s="103"/>
      <c r="R329" s="103"/>
      <c r="S329" s="103"/>
      <c r="T329" s="103"/>
      <c r="U329" s="103"/>
      <c r="V329" s="103"/>
      <c r="W329" s="103"/>
      <c r="X329" s="103"/>
      <c r="Y329" s="103"/>
      <c r="Z329" s="299"/>
      <c r="AA329" s="299"/>
      <c r="AB329" s="299"/>
      <c r="AC329" s="299"/>
      <c r="AD329" s="299"/>
      <c r="AE329" s="299"/>
      <c r="AF329" s="299"/>
      <c r="AG329" s="299"/>
      <c r="AH329" s="299"/>
      <c r="AI329" s="299"/>
      <c r="AJ329" s="299"/>
      <c r="AK329" s="299"/>
      <c r="AL329" s="299"/>
      <c r="AM329" s="299"/>
      <c r="AN329" s="299"/>
      <c r="AO329" s="299"/>
      <c r="AP329" s="299"/>
      <c r="AQ329" s="299"/>
      <c r="AR329" s="299"/>
    </row>
    <row r="330" spans="3:45" x14ac:dyDescent="0.2">
      <c r="C330" s="103"/>
      <c r="D330" s="103"/>
      <c r="E330" s="103"/>
      <c r="F330" s="103"/>
      <c r="G330" s="103"/>
      <c r="H330" s="104"/>
      <c r="I330" s="103"/>
      <c r="J330" s="103"/>
      <c r="K330" s="103"/>
      <c r="L330" s="103"/>
      <c r="M330" s="104"/>
      <c r="N330" s="103"/>
      <c r="O330" s="103"/>
      <c r="P330" s="103"/>
      <c r="Q330" s="103"/>
      <c r="R330" s="103"/>
      <c r="S330" s="103"/>
      <c r="T330" s="103"/>
      <c r="U330" s="103"/>
      <c r="V330" s="103"/>
      <c r="W330" s="103"/>
      <c r="X330" s="103"/>
      <c r="Y330" s="103"/>
      <c r="Z330" s="299"/>
      <c r="AA330" s="299"/>
      <c r="AB330" s="299"/>
      <c r="AC330" s="299"/>
      <c r="AD330" s="299"/>
      <c r="AE330" s="299"/>
      <c r="AF330" s="299"/>
      <c r="AG330" s="299"/>
      <c r="AH330" s="299"/>
      <c r="AI330" s="299"/>
      <c r="AJ330" s="299"/>
      <c r="AK330" s="299"/>
      <c r="AL330" s="299"/>
      <c r="AM330" s="299"/>
      <c r="AN330" s="299"/>
      <c r="AO330" s="299"/>
      <c r="AP330" s="299"/>
      <c r="AQ330" s="299"/>
      <c r="AR330" s="299"/>
    </row>
    <row r="331" spans="3:45" x14ac:dyDescent="0.2">
      <c r="C331" s="103"/>
      <c r="D331" s="103"/>
      <c r="E331" s="103"/>
      <c r="F331" s="103"/>
      <c r="G331" s="103"/>
      <c r="H331" s="104"/>
      <c r="I331" s="103"/>
      <c r="J331" s="103"/>
      <c r="K331" s="103"/>
      <c r="L331" s="103"/>
      <c r="M331" s="104"/>
      <c r="N331" s="103"/>
      <c r="O331" s="103"/>
      <c r="P331" s="103"/>
      <c r="Q331" s="103"/>
      <c r="R331" s="103"/>
      <c r="S331" s="103"/>
      <c r="T331" s="103"/>
      <c r="U331" s="103"/>
      <c r="V331" s="103"/>
      <c r="W331" s="103"/>
      <c r="X331" s="103"/>
      <c r="Y331" s="103"/>
      <c r="Z331" s="299"/>
      <c r="AA331" s="299"/>
      <c r="AB331" s="299"/>
      <c r="AC331" s="299"/>
      <c r="AD331" s="299"/>
      <c r="AE331" s="299"/>
      <c r="AF331" s="299"/>
      <c r="AG331" s="299"/>
      <c r="AH331" s="299"/>
      <c r="AI331" s="299"/>
      <c r="AJ331" s="299"/>
      <c r="AK331" s="299"/>
      <c r="AL331" s="299"/>
      <c r="AM331" s="299"/>
      <c r="AN331" s="299"/>
      <c r="AO331" s="299"/>
      <c r="AP331" s="299"/>
      <c r="AQ331" s="299"/>
      <c r="AR331" s="299"/>
    </row>
    <row r="332" spans="3:45" x14ac:dyDescent="0.2">
      <c r="C332" s="103"/>
      <c r="D332" s="103"/>
      <c r="E332" s="103"/>
      <c r="F332" s="103"/>
      <c r="G332" s="103"/>
      <c r="H332" s="104"/>
      <c r="I332" s="103"/>
      <c r="J332" s="103"/>
      <c r="K332" s="103"/>
      <c r="L332" s="103"/>
      <c r="M332" s="104"/>
      <c r="N332" s="103"/>
      <c r="O332" s="103"/>
      <c r="P332" s="103"/>
      <c r="Q332" s="103"/>
      <c r="R332" s="103"/>
      <c r="S332" s="103"/>
      <c r="T332" s="103"/>
      <c r="U332" s="103"/>
      <c r="V332" s="103"/>
      <c r="W332" s="103"/>
      <c r="X332" s="103"/>
      <c r="Y332" s="103"/>
      <c r="Z332" s="299"/>
      <c r="AA332" s="299"/>
      <c r="AB332" s="299"/>
      <c r="AC332" s="299"/>
      <c r="AD332" s="299"/>
      <c r="AE332" s="299"/>
      <c r="AF332" s="299"/>
      <c r="AG332" s="299"/>
      <c r="AH332" s="299"/>
      <c r="AI332" s="299"/>
      <c r="AJ332" s="299"/>
      <c r="AK332" s="299"/>
      <c r="AL332" s="299"/>
      <c r="AM332" s="299"/>
      <c r="AN332" s="299"/>
      <c r="AO332" s="299"/>
      <c r="AP332" s="299"/>
      <c r="AQ332" s="299"/>
      <c r="AR332" s="299"/>
    </row>
    <row r="333" spans="3:45" x14ac:dyDescent="0.2">
      <c r="C333" s="103"/>
      <c r="D333" s="103"/>
      <c r="E333" s="103"/>
      <c r="F333" s="103"/>
      <c r="G333" s="103"/>
      <c r="H333" s="104"/>
      <c r="I333" s="103"/>
      <c r="J333" s="103"/>
      <c r="K333" s="103"/>
      <c r="L333" s="103"/>
      <c r="M333" s="104"/>
      <c r="N333" s="103"/>
      <c r="O333" s="103"/>
      <c r="P333" s="103"/>
      <c r="Q333" s="103"/>
      <c r="R333" s="103"/>
      <c r="S333" s="103"/>
      <c r="T333" s="103"/>
      <c r="U333" s="103"/>
      <c r="V333" s="103"/>
      <c r="W333" s="103"/>
      <c r="X333" s="103"/>
      <c r="Y333" s="103"/>
      <c r="Z333" s="299"/>
      <c r="AA333" s="299"/>
      <c r="AB333" s="299"/>
      <c r="AC333" s="299"/>
      <c r="AD333" s="299"/>
      <c r="AE333" s="299"/>
      <c r="AF333" s="299"/>
      <c r="AG333" s="299"/>
      <c r="AH333" s="299"/>
      <c r="AI333" s="299"/>
      <c r="AJ333" s="299"/>
      <c r="AK333" s="299"/>
      <c r="AL333" s="299"/>
      <c r="AM333" s="299"/>
      <c r="AN333" s="299"/>
      <c r="AO333" s="299"/>
      <c r="AP333" s="299"/>
      <c r="AQ333" s="299"/>
      <c r="AR333" s="299"/>
    </row>
    <row r="334" spans="3:45" x14ac:dyDescent="0.2">
      <c r="C334" s="103"/>
      <c r="D334" s="103"/>
      <c r="E334" s="103"/>
      <c r="F334" s="103"/>
      <c r="G334" s="103"/>
      <c r="H334" s="104"/>
      <c r="I334" s="103"/>
      <c r="J334" s="103"/>
      <c r="K334" s="103"/>
      <c r="L334" s="103"/>
      <c r="M334" s="104"/>
      <c r="N334" s="103"/>
      <c r="O334" s="103"/>
      <c r="P334" s="103"/>
      <c r="Q334" s="103"/>
      <c r="R334" s="103"/>
      <c r="S334" s="103"/>
      <c r="T334" s="103"/>
      <c r="U334" s="103"/>
      <c r="V334" s="103"/>
      <c r="W334" s="103"/>
      <c r="X334" s="103"/>
      <c r="Y334" s="103"/>
      <c r="Z334" s="299"/>
      <c r="AA334" s="299"/>
      <c r="AB334" s="299"/>
      <c r="AC334" s="299"/>
      <c r="AD334" s="299"/>
      <c r="AE334" s="299"/>
      <c r="AF334" s="299"/>
      <c r="AG334" s="299"/>
      <c r="AH334" s="299"/>
      <c r="AI334" s="299"/>
      <c r="AJ334" s="299"/>
      <c r="AK334" s="299"/>
      <c r="AL334" s="299"/>
      <c r="AM334" s="299"/>
      <c r="AN334" s="299"/>
      <c r="AO334" s="299"/>
      <c r="AP334" s="299"/>
      <c r="AQ334" s="299"/>
      <c r="AR334" s="299"/>
    </row>
    <row r="335" spans="3:45" x14ac:dyDescent="0.2">
      <c r="C335" s="103"/>
      <c r="D335" s="103"/>
      <c r="E335" s="103"/>
      <c r="F335" s="103"/>
      <c r="G335" s="103"/>
      <c r="H335" s="104"/>
      <c r="I335" s="103"/>
      <c r="J335" s="103"/>
      <c r="K335" s="103"/>
      <c r="L335" s="103"/>
      <c r="M335" s="104"/>
      <c r="N335" s="103"/>
      <c r="O335" s="103"/>
      <c r="P335" s="103"/>
      <c r="Q335" s="103"/>
      <c r="R335" s="103"/>
      <c r="S335" s="103"/>
      <c r="T335" s="103"/>
      <c r="U335" s="103"/>
      <c r="V335" s="103"/>
      <c r="W335" s="103"/>
      <c r="X335" s="103"/>
      <c r="Y335" s="103"/>
      <c r="Z335" s="299"/>
      <c r="AA335" s="299"/>
      <c r="AB335" s="299"/>
      <c r="AC335" s="299"/>
      <c r="AD335" s="299"/>
      <c r="AE335" s="299"/>
      <c r="AF335" s="299"/>
      <c r="AG335" s="299"/>
      <c r="AH335" s="299"/>
      <c r="AI335" s="299"/>
      <c r="AJ335" s="299"/>
      <c r="AK335" s="299"/>
      <c r="AL335" s="299"/>
      <c r="AM335" s="299"/>
      <c r="AN335" s="299"/>
      <c r="AO335" s="299"/>
      <c r="AP335" s="299"/>
      <c r="AQ335" s="299"/>
      <c r="AR335" s="299"/>
    </row>
    <row r="336" spans="3:45" x14ac:dyDescent="0.2">
      <c r="C336" s="103"/>
      <c r="D336" s="103"/>
      <c r="E336" s="103"/>
      <c r="F336" s="103"/>
      <c r="G336" s="103"/>
      <c r="H336" s="104"/>
      <c r="I336" s="103"/>
      <c r="J336" s="103"/>
      <c r="K336" s="103"/>
      <c r="L336" s="103"/>
      <c r="M336" s="104"/>
      <c r="N336" s="103"/>
      <c r="O336" s="103"/>
      <c r="P336" s="103"/>
      <c r="Q336" s="103"/>
      <c r="R336" s="103"/>
      <c r="S336" s="103"/>
      <c r="T336" s="103"/>
      <c r="U336" s="103"/>
      <c r="V336" s="103"/>
      <c r="W336" s="103"/>
      <c r="X336" s="103"/>
      <c r="Y336" s="103"/>
      <c r="Z336" s="299"/>
      <c r="AA336" s="299"/>
      <c r="AB336" s="299"/>
      <c r="AC336" s="299"/>
      <c r="AD336" s="299"/>
      <c r="AE336" s="299"/>
      <c r="AF336" s="299"/>
      <c r="AG336" s="299"/>
      <c r="AH336" s="299"/>
      <c r="AI336" s="299"/>
      <c r="AJ336" s="299"/>
      <c r="AK336" s="299"/>
      <c r="AL336" s="299"/>
      <c r="AM336" s="299"/>
      <c r="AN336" s="299"/>
      <c r="AO336" s="299"/>
      <c r="AP336" s="299"/>
      <c r="AQ336" s="299"/>
      <c r="AR336" s="299"/>
    </row>
    <row r="337" spans="3:44" x14ac:dyDescent="0.2">
      <c r="C337" s="103"/>
      <c r="D337" s="103"/>
      <c r="E337" s="103"/>
      <c r="F337" s="103"/>
      <c r="G337" s="103"/>
      <c r="H337" s="104"/>
      <c r="I337" s="103"/>
      <c r="J337" s="103"/>
      <c r="K337" s="103"/>
      <c r="L337" s="103"/>
      <c r="M337" s="104"/>
      <c r="N337" s="103"/>
      <c r="O337" s="103"/>
      <c r="P337" s="103"/>
      <c r="Q337" s="103"/>
      <c r="R337" s="103"/>
      <c r="S337" s="103"/>
      <c r="T337" s="103"/>
      <c r="U337" s="103"/>
      <c r="V337" s="103"/>
      <c r="W337" s="103"/>
      <c r="X337" s="103"/>
      <c r="Y337" s="103"/>
      <c r="Z337" s="299"/>
      <c r="AA337" s="299"/>
      <c r="AB337" s="299"/>
      <c r="AC337" s="299"/>
      <c r="AD337" s="299"/>
      <c r="AE337" s="299"/>
      <c r="AF337" s="299"/>
      <c r="AG337" s="299"/>
      <c r="AH337" s="299"/>
      <c r="AI337" s="299"/>
      <c r="AJ337" s="299"/>
      <c r="AK337" s="299"/>
      <c r="AL337" s="299"/>
      <c r="AM337" s="299"/>
      <c r="AN337" s="299"/>
      <c r="AO337" s="299"/>
      <c r="AP337" s="299"/>
      <c r="AQ337" s="299"/>
      <c r="AR337" s="299"/>
    </row>
    <row r="338" spans="3:44" x14ac:dyDescent="0.2">
      <c r="C338" s="103"/>
      <c r="D338" s="103"/>
      <c r="E338" s="103"/>
      <c r="F338" s="103"/>
      <c r="G338" s="103"/>
      <c r="H338" s="104"/>
      <c r="I338" s="103"/>
      <c r="J338" s="103"/>
      <c r="K338" s="103"/>
      <c r="L338" s="103"/>
      <c r="M338" s="104"/>
      <c r="N338" s="103"/>
      <c r="O338" s="103"/>
      <c r="P338" s="103"/>
      <c r="Q338" s="103"/>
      <c r="R338" s="103"/>
      <c r="S338" s="103"/>
      <c r="T338" s="103"/>
      <c r="U338" s="103"/>
      <c r="V338" s="103"/>
      <c r="W338" s="103"/>
      <c r="X338" s="103"/>
      <c r="Y338" s="103"/>
      <c r="Z338" s="299"/>
      <c r="AA338" s="299"/>
      <c r="AB338" s="299"/>
      <c r="AC338" s="299"/>
      <c r="AD338" s="299"/>
      <c r="AE338" s="299"/>
      <c r="AF338" s="299"/>
      <c r="AG338" s="299"/>
      <c r="AH338" s="299"/>
      <c r="AI338" s="299"/>
      <c r="AJ338" s="299"/>
      <c r="AK338" s="299"/>
      <c r="AL338" s="299"/>
      <c r="AM338" s="299"/>
      <c r="AN338" s="299"/>
      <c r="AO338" s="299"/>
      <c r="AP338" s="299"/>
      <c r="AQ338" s="299"/>
      <c r="AR338" s="299"/>
    </row>
    <row r="339" spans="3:44" x14ac:dyDescent="0.2">
      <c r="C339" s="103"/>
      <c r="D339" s="103"/>
      <c r="E339" s="103"/>
      <c r="F339" s="103"/>
      <c r="G339" s="103"/>
      <c r="H339" s="104"/>
      <c r="I339" s="103"/>
      <c r="J339" s="103"/>
      <c r="K339" s="103"/>
      <c r="L339" s="103"/>
      <c r="M339" s="104"/>
      <c r="N339" s="103"/>
      <c r="O339" s="103"/>
      <c r="P339" s="103"/>
      <c r="Q339" s="103"/>
      <c r="R339" s="103"/>
      <c r="S339" s="103"/>
      <c r="T339" s="103"/>
      <c r="U339" s="103"/>
      <c r="V339" s="103"/>
      <c r="W339" s="103"/>
      <c r="X339" s="103"/>
      <c r="Y339" s="103"/>
      <c r="Z339" s="299"/>
      <c r="AA339" s="299"/>
      <c r="AB339" s="299"/>
      <c r="AC339" s="299"/>
      <c r="AD339" s="299"/>
      <c r="AE339" s="299"/>
      <c r="AF339" s="299"/>
      <c r="AG339" s="299"/>
      <c r="AH339" s="299"/>
      <c r="AI339" s="299"/>
      <c r="AJ339" s="299"/>
      <c r="AK339" s="299"/>
      <c r="AL339" s="299"/>
      <c r="AM339" s="299"/>
      <c r="AN339" s="299"/>
      <c r="AO339" s="299"/>
      <c r="AP339" s="299"/>
      <c r="AQ339" s="299"/>
      <c r="AR339" s="299"/>
    </row>
    <row r="340" spans="3:44" x14ac:dyDescent="0.2">
      <c r="C340" s="103"/>
      <c r="D340" s="103"/>
      <c r="E340" s="103"/>
      <c r="F340" s="103"/>
      <c r="G340" s="103"/>
      <c r="H340" s="104"/>
      <c r="I340" s="103"/>
      <c r="J340" s="103"/>
      <c r="K340" s="103"/>
      <c r="L340" s="103"/>
      <c r="M340" s="104"/>
      <c r="N340" s="103"/>
      <c r="O340" s="103"/>
      <c r="P340" s="103"/>
      <c r="Q340" s="103"/>
      <c r="R340" s="103"/>
      <c r="S340" s="103"/>
      <c r="T340" s="103"/>
      <c r="U340" s="103"/>
      <c r="V340" s="103"/>
      <c r="W340" s="103"/>
      <c r="X340" s="103"/>
      <c r="Y340" s="103"/>
      <c r="Z340" s="299"/>
      <c r="AA340" s="299"/>
      <c r="AB340" s="299"/>
      <c r="AC340" s="299"/>
      <c r="AD340" s="299"/>
      <c r="AE340" s="299"/>
      <c r="AF340" s="299"/>
      <c r="AG340" s="299"/>
      <c r="AH340" s="299"/>
      <c r="AI340" s="299"/>
      <c r="AJ340" s="299"/>
      <c r="AK340" s="299"/>
      <c r="AL340" s="299"/>
      <c r="AM340" s="299"/>
      <c r="AN340" s="299"/>
      <c r="AO340" s="299"/>
      <c r="AP340" s="299"/>
      <c r="AQ340" s="299"/>
      <c r="AR340" s="299"/>
    </row>
    <row r="341" spans="3:44" x14ac:dyDescent="0.2">
      <c r="C341" s="103"/>
      <c r="D341" s="103"/>
      <c r="E341" s="103"/>
      <c r="F341" s="103"/>
      <c r="G341" s="103"/>
      <c r="H341" s="104"/>
      <c r="I341" s="103"/>
      <c r="J341" s="103"/>
      <c r="K341" s="103"/>
      <c r="L341" s="103"/>
      <c r="M341" s="104"/>
      <c r="N341" s="103"/>
      <c r="O341" s="103"/>
      <c r="P341" s="103"/>
      <c r="Q341" s="103"/>
      <c r="R341" s="103"/>
      <c r="S341" s="103"/>
      <c r="T341" s="103"/>
      <c r="U341" s="103"/>
      <c r="V341" s="103"/>
      <c r="W341" s="103"/>
      <c r="X341" s="103"/>
      <c r="Y341" s="103"/>
      <c r="Z341" s="299"/>
      <c r="AA341" s="299"/>
      <c r="AB341" s="299"/>
      <c r="AC341" s="299"/>
      <c r="AD341" s="299"/>
      <c r="AE341" s="299"/>
      <c r="AF341" s="299"/>
      <c r="AG341" s="299"/>
      <c r="AH341" s="299"/>
      <c r="AI341" s="299"/>
      <c r="AJ341" s="299"/>
      <c r="AK341" s="299"/>
      <c r="AL341" s="299"/>
      <c r="AM341" s="299"/>
      <c r="AN341" s="299"/>
      <c r="AO341" s="299"/>
      <c r="AP341" s="299"/>
      <c r="AQ341" s="299"/>
      <c r="AR341" s="299"/>
    </row>
    <row r="342" spans="3:44" x14ac:dyDescent="0.2">
      <c r="C342" s="103"/>
      <c r="D342" s="103"/>
      <c r="E342" s="103"/>
      <c r="F342" s="103"/>
      <c r="G342" s="103"/>
      <c r="H342" s="104"/>
      <c r="I342" s="103"/>
      <c r="J342" s="103"/>
      <c r="K342" s="103"/>
      <c r="L342" s="103"/>
      <c r="M342" s="104"/>
      <c r="N342" s="103"/>
      <c r="O342" s="103"/>
      <c r="P342" s="103"/>
      <c r="Q342" s="103"/>
      <c r="R342" s="103"/>
      <c r="S342" s="103"/>
      <c r="T342" s="103"/>
      <c r="U342" s="103"/>
      <c r="V342" s="103"/>
      <c r="W342" s="103"/>
      <c r="X342" s="103"/>
      <c r="Y342" s="103"/>
      <c r="Z342" s="299"/>
      <c r="AA342" s="299"/>
      <c r="AB342" s="299"/>
      <c r="AC342" s="299"/>
      <c r="AD342" s="299"/>
      <c r="AE342" s="299"/>
      <c r="AF342" s="299"/>
      <c r="AG342" s="299"/>
      <c r="AH342" s="299"/>
      <c r="AI342" s="299"/>
      <c r="AJ342" s="299"/>
      <c r="AK342" s="299"/>
      <c r="AL342" s="299"/>
      <c r="AM342" s="299"/>
      <c r="AN342" s="299"/>
      <c r="AO342" s="299"/>
      <c r="AP342" s="299"/>
      <c r="AQ342" s="299"/>
      <c r="AR342" s="299"/>
    </row>
    <row r="343" spans="3:44" x14ac:dyDescent="0.2">
      <c r="C343" s="103"/>
      <c r="D343" s="103"/>
      <c r="E343" s="103"/>
      <c r="F343" s="103"/>
      <c r="G343" s="103"/>
      <c r="H343" s="104"/>
      <c r="I343" s="103"/>
      <c r="J343" s="103"/>
      <c r="K343" s="103"/>
      <c r="L343" s="103"/>
      <c r="M343" s="104"/>
      <c r="N343" s="103"/>
      <c r="O343" s="103"/>
      <c r="P343" s="103"/>
      <c r="Q343" s="103"/>
      <c r="R343" s="103"/>
      <c r="S343" s="103"/>
      <c r="T343" s="103"/>
      <c r="U343" s="103"/>
      <c r="V343" s="103"/>
      <c r="W343" s="103"/>
      <c r="X343" s="103"/>
      <c r="Y343" s="103"/>
      <c r="Z343" s="299"/>
      <c r="AA343" s="299"/>
      <c r="AB343" s="299"/>
      <c r="AC343" s="299"/>
      <c r="AD343" s="299"/>
      <c r="AE343" s="299"/>
      <c r="AF343" s="299"/>
      <c r="AG343" s="299"/>
      <c r="AH343" s="299"/>
      <c r="AI343" s="299"/>
      <c r="AJ343" s="299"/>
      <c r="AK343" s="299"/>
      <c r="AL343" s="299"/>
      <c r="AM343" s="299"/>
      <c r="AN343" s="299"/>
      <c r="AO343" s="299"/>
      <c r="AP343" s="299"/>
      <c r="AQ343" s="299"/>
      <c r="AR343" s="299"/>
    </row>
    <row r="344" spans="3:44" x14ac:dyDescent="0.2">
      <c r="C344" s="103"/>
      <c r="D344" s="103"/>
      <c r="E344" s="103"/>
      <c r="F344" s="103"/>
      <c r="G344" s="103"/>
      <c r="H344" s="104"/>
      <c r="I344" s="103"/>
      <c r="J344" s="103"/>
      <c r="K344" s="103"/>
      <c r="L344" s="103"/>
      <c r="M344" s="104"/>
      <c r="N344" s="103"/>
      <c r="O344" s="103"/>
      <c r="P344" s="103"/>
      <c r="Q344" s="103"/>
      <c r="R344" s="103"/>
      <c r="S344" s="103"/>
      <c r="T344" s="103"/>
      <c r="U344" s="103"/>
      <c r="V344" s="103"/>
      <c r="W344" s="103"/>
      <c r="X344" s="103"/>
      <c r="Y344" s="103"/>
      <c r="Z344" s="299"/>
      <c r="AA344" s="299"/>
      <c r="AB344" s="299"/>
      <c r="AC344" s="299"/>
      <c r="AD344" s="299"/>
      <c r="AE344" s="299"/>
      <c r="AF344" s="299"/>
      <c r="AG344" s="299"/>
      <c r="AH344" s="299"/>
      <c r="AI344" s="299"/>
      <c r="AJ344" s="299"/>
      <c r="AK344" s="299"/>
      <c r="AL344" s="299"/>
      <c r="AM344" s="299"/>
      <c r="AN344" s="299"/>
      <c r="AO344" s="299"/>
      <c r="AP344" s="299"/>
      <c r="AQ344" s="299"/>
      <c r="AR344" s="299"/>
    </row>
    <row r="345" spans="3:44" x14ac:dyDescent="0.2">
      <c r="C345" s="103"/>
      <c r="D345" s="103"/>
      <c r="E345" s="103"/>
      <c r="F345" s="103"/>
      <c r="G345" s="103"/>
      <c r="H345" s="104"/>
      <c r="I345" s="103"/>
      <c r="J345" s="103"/>
      <c r="K345" s="103"/>
      <c r="L345" s="103"/>
      <c r="M345" s="104"/>
      <c r="N345" s="103"/>
      <c r="O345" s="103"/>
      <c r="P345" s="103"/>
      <c r="Q345" s="103"/>
      <c r="R345" s="103"/>
      <c r="S345" s="103"/>
      <c r="T345" s="103"/>
      <c r="U345" s="103"/>
      <c r="V345" s="103"/>
      <c r="W345" s="103"/>
      <c r="X345" s="103"/>
      <c r="Y345" s="103"/>
      <c r="Z345" s="299"/>
      <c r="AA345" s="299"/>
      <c r="AB345" s="299"/>
      <c r="AC345" s="299"/>
      <c r="AD345" s="299"/>
      <c r="AE345" s="299"/>
      <c r="AF345" s="299"/>
      <c r="AG345" s="299"/>
      <c r="AH345" s="299"/>
      <c r="AI345" s="299"/>
      <c r="AJ345" s="299"/>
      <c r="AK345" s="299"/>
      <c r="AL345" s="299"/>
      <c r="AM345" s="299"/>
      <c r="AN345" s="299"/>
      <c r="AO345" s="299"/>
      <c r="AP345" s="299"/>
      <c r="AQ345" s="299"/>
      <c r="AR345" s="299"/>
    </row>
    <row r="346" spans="3:44" x14ac:dyDescent="0.2">
      <c r="C346" s="103"/>
      <c r="D346" s="103"/>
      <c r="E346" s="103"/>
      <c r="F346" s="103"/>
      <c r="G346" s="103"/>
      <c r="H346" s="104"/>
      <c r="I346" s="103"/>
      <c r="J346" s="103"/>
      <c r="K346" s="103"/>
      <c r="L346" s="103"/>
      <c r="M346" s="104"/>
      <c r="N346" s="103"/>
      <c r="O346" s="103"/>
      <c r="P346" s="103"/>
      <c r="Q346" s="103"/>
      <c r="R346" s="103"/>
      <c r="S346" s="103"/>
      <c r="T346" s="103"/>
      <c r="U346" s="103"/>
      <c r="V346" s="103"/>
      <c r="W346" s="103"/>
      <c r="X346" s="103"/>
      <c r="Y346" s="103"/>
      <c r="Z346" s="299"/>
      <c r="AA346" s="299"/>
      <c r="AB346" s="299"/>
      <c r="AC346" s="299"/>
      <c r="AD346" s="299"/>
      <c r="AE346" s="299"/>
      <c r="AF346" s="299"/>
      <c r="AG346" s="299"/>
      <c r="AH346" s="299"/>
      <c r="AI346" s="299"/>
      <c r="AJ346" s="299"/>
      <c r="AK346" s="299"/>
      <c r="AL346" s="299"/>
      <c r="AM346" s="299"/>
      <c r="AN346" s="299"/>
      <c r="AO346" s="299"/>
      <c r="AP346" s="299"/>
      <c r="AQ346" s="299"/>
      <c r="AR346" s="299"/>
    </row>
    <row r="347" spans="3:44" x14ac:dyDescent="0.2">
      <c r="C347" s="103"/>
      <c r="D347" s="103"/>
      <c r="E347" s="103"/>
      <c r="F347" s="103"/>
      <c r="G347" s="103"/>
      <c r="H347" s="104"/>
      <c r="I347" s="103"/>
      <c r="J347" s="103"/>
      <c r="K347" s="103"/>
      <c r="L347" s="103"/>
      <c r="M347" s="104"/>
      <c r="N347" s="103"/>
      <c r="O347" s="103"/>
      <c r="P347" s="103"/>
      <c r="Q347" s="103"/>
      <c r="R347" s="103"/>
      <c r="S347" s="103"/>
      <c r="T347" s="103"/>
      <c r="U347" s="103"/>
      <c r="V347" s="103"/>
      <c r="W347" s="103"/>
      <c r="X347" s="103"/>
      <c r="Y347" s="103"/>
      <c r="Z347" s="299"/>
      <c r="AA347" s="299"/>
      <c r="AB347" s="299"/>
      <c r="AC347" s="299"/>
      <c r="AD347" s="299"/>
      <c r="AE347" s="299"/>
      <c r="AF347" s="299"/>
      <c r="AG347" s="299"/>
      <c r="AH347" s="299"/>
      <c r="AI347" s="299"/>
      <c r="AJ347" s="299"/>
      <c r="AK347" s="299"/>
      <c r="AL347" s="299"/>
      <c r="AM347" s="299"/>
      <c r="AN347" s="299"/>
      <c r="AO347" s="299"/>
      <c r="AP347" s="299"/>
      <c r="AQ347" s="299"/>
      <c r="AR347" s="299"/>
    </row>
    <row r="348" spans="3:44" x14ac:dyDescent="0.2">
      <c r="C348" s="103"/>
      <c r="D348" s="103"/>
      <c r="E348" s="103"/>
      <c r="F348" s="103"/>
      <c r="G348" s="103"/>
      <c r="H348" s="104"/>
      <c r="I348" s="103"/>
      <c r="J348" s="103"/>
      <c r="K348" s="103"/>
      <c r="L348" s="103"/>
      <c r="M348" s="104"/>
      <c r="N348" s="103"/>
      <c r="O348" s="103"/>
      <c r="P348" s="103"/>
      <c r="Q348" s="103"/>
      <c r="R348" s="103"/>
      <c r="S348" s="103"/>
      <c r="T348" s="103"/>
      <c r="U348" s="103"/>
      <c r="V348" s="103"/>
      <c r="W348" s="103"/>
      <c r="X348" s="103"/>
      <c r="Y348" s="103"/>
      <c r="Z348" s="299"/>
      <c r="AA348" s="299"/>
      <c r="AB348" s="299"/>
      <c r="AC348" s="299"/>
      <c r="AD348" s="299"/>
      <c r="AE348" s="299"/>
      <c r="AF348" s="299"/>
      <c r="AG348" s="299"/>
      <c r="AH348" s="299"/>
      <c r="AI348" s="299"/>
      <c r="AJ348" s="299"/>
      <c r="AK348" s="299"/>
      <c r="AL348" s="299"/>
      <c r="AM348" s="299"/>
      <c r="AN348" s="299"/>
      <c r="AO348" s="299"/>
      <c r="AP348" s="299"/>
      <c r="AQ348" s="299"/>
      <c r="AR348" s="299"/>
    </row>
    <row r="349" spans="3:44" x14ac:dyDescent="0.2">
      <c r="C349" s="103"/>
      <c r="D349" s="103"/>
      <c r="E349" s="103"/>
      <c r="F349" s="103"/>
      <c r="G349" s="103"/>
      <c r="H349" s="104"/>
      <c r="I349" s="103"/>
      <c r="J349" s="103"/>
      <c r="K349" s="103"/>
      <c r="L349" s="103"/>
      <c r="M349" s="104"/>
      <c r="N349" s="103"/>
      <c r="O349" s="103"/>
      <c r="P349" s="103"/>
      <c r="Q349" s="103"/>
      <c r="R349" s="103"/>
      <c r="S349" s="103"/>
      <c r="T349" s="103"/>
      <c r="U349" s="103"/>
      <c r="V349" s="103"/>
      <c r="W349" s="103"/>
      <c r="X349" s="103"/>
      <c r="Y349" s="103"/>
      <c r="Z349" s="299"/>
      <c r="AA349" s="299"/>
      <c r="AB349" s="299"/>
      <c r="AC349" s="299"/>
      <c r="AD349" s="299"/>
      <c r="AE349" s="299"/>
      <c r="AF349" s="299"/>
      <c r="AG349" s="299"/>
      <c r="AH349" s="299"/>
      <c r="AI349" s="299"/>
      <c r="AJ349" s="299"/>
      <c r="AK349" s="299"/>
      <c r="AL349" s="299"/>
      <c r="AM349" s="299"/>
      <c r="AN349" s="299"/>
      <c r="AO349" s="299"/>
      <c r="AP349" s="299"/>
      <c r="AQ349" s="299"/>
      <c r="AR349" s="299"/>
    </row>
    <row r="350" spans="3:44" x14ac:dyDescent="0.2">
      <c r="C350" s="103"/>
      <c r="D350" s="103"/>
      <c r="E350" s="103"/>
      <c r="F350" s="103"/>
      <c r="G350" s="103"/>
      <c r="H350" s="104"/>
      <c r="I350" s="103"/>
      <c r="J350" s="103"/>
      <c r="K350" s="103"/>
      <c r="L350" s="103"/>
      <c r="M350" s="104"/>
      <c r="N350" s="103"/>
      <c r="O350" s="103"/>
      <c r="P350" s="103"/>
      <c r="Q350" s="103"/>
      <c r="R350" s="103"/>
      <c r="S350" s="103"/>
      <c r="T350" s="103"/>
      <c r="U350" s="103"/>
      <c r="V350" s="103"/>
      <c r="W350" s="103"/>
      <c r="X350" s="103"/>
      <c r="Y350" s="103"/>
      <c r="Z350" s="299"/>
      <c r="AA350" s="299"/>
      <c r="AB350" s="299"/>
      <c r="AC350" s="299"/>
      <c r="AD350" s="299"/>
      <c r="AE350" s="299"/>
      <c r="AF350" s="299"/>
      <c r="AG350" s="299"/>
      <c r="AH350" s="299"/>
      <c r="AI350" s="299"/>
      <c r="AJ350" s="299"/>
      <c r="AK350" s="299"/>
      <c r="AL350" s="299"/>
      <c r="AM350" s="299"/>
      <c r="AN350" s="299"/>
      <c r="AO350" s="299"/>
      <c r="AP350" s="299"/>
      <c r="AQ350" s="299"/>
      <c r="AR350" s="299"/>
    </row>
    <row r="351" spans="3:44" x14ac:dyDescent="0.2">
      <c r="C351" s="103"/>
      <c r="D351" s="103"/>
      <c r="E351" s="103"/>
      <c r="F351" s="103"/>
      <c r="G351" s="103"/>
      <c r="H351" s="104"/>
      <c r="I351" s="103"/>
      <c r="J351" s="103"/>
      <c r="K351" s="103"/>
      <c r="L351" s="103"/>
      <c r="M351" s="104"/>
      <c r="N351" s="103"/>
      <c r="O351" s="103"/>
      <c r="P351" s="103"/>
      <c r="Q351" s="103"/>
      <c r="R351" s="103"/>
      <c r="S351" s="103"/>
      <c r="T351" s="103"/>
      <c r="U351" s="103"/>
      <c r="V351" s="103"/>
      <c r="W351" s="103"/>
      <c r="X351" s="103"/>
      <c r="Y351" s="103"/>
      <c r="Z351" s="299"/>
      <c r="AA351" s="299"/>
      <c r="AB351" s="299"/>
      <c r="AC351" s="299"/>
      <c r="AD351" s="299"/>
      <c r="AE351" s="299"/>
      <c r="AF351" s="299"/>
      <c r="AG351" s="299"/>
      <c r="AH351" s="299"/>
      <c r="AI351" s="299"/>
      <c r="AJ351" s="299"/>
      <c r="AK351" s="299"/>
      <c r="AL351" s="299"/>
      <c r="AM351" s="299"/>
      <c r="AN351" s="299"/>
      <c r="AO351" s="299"/>
      <c r="AP351" s="299"/>
      <c r="AQ351" s="299"/>
      <c r="AR351" s="299"/>
    </row>
    <row r="352" spans="3:44" x14ac:dyDescent="0.2">
      <c r="C352" s="103"/>
      <c r="D352" s="103"/>
      <c r="E352" s="103"/>
      <c r="F352" s="103"/>
      <c r="G352" s="103"/>
      <c r="H352" s="104"/>
      <c r="I352" s="103"/>
      <c r="J352" s="103"/>
      <c r="K352" s="103"/>
      <c r="L352" s="103"/>
      <c r="M352" s="104"/>
      <c r="N352" s="103"/>
      <c r="O352" s="103"/>
      <c r="P352" s="103"/>
      <c r="Q352" s="103"/>
      <c r="R352" s="103"/>
      <c r="S352" s="103"/>
      <c r="T352" s="103"/>
      <c r="U352" s="103"/>
      <c r="V352" s="103"/>
      <c r="W352" s="103"/>
      <c r="X352" s="103"/>
      <c r="Y352" s="103"/>
      <c r="Z352" s="299"/>
      <c r="AA352" s="299"/>
      <c r="AB352" s="299"/>
      <c r="AC352" s="299"/>
      <c r="AD352" s="299"/>
      <c r="AE352" s="299"/>
      <c r="AF352" s="299"/>
      <c r="AG352" s="299"/>
      <c r="AH352" s="299"/>
      <c r="AI352" s="299"/>
      <c r="AJ352" s="299"/>
      <c r="AK352" s="299"/>
      <c r="AL352" s="299"/>
      <c r="AM352" s="299"/>
      <c r="AN352" s="299"/>
      <c r="AO352" s="299"/>
      <c r="AP352" s="299"/>
      <c r="AQ352" s="299"/>
      <c r="AR352" s="299"/>
    </row>
    <row r="353" spans="3:44" x14ac:dyDescent="0.2">
      <c r="C353" s="103"/>
      <c r="D353" s="103"/>
      <c r="E353" s="103"/>
      <c r="F353" s="103"/>
      <c r="G353" s="103"/>
      <c r="H353" s="104"/>
      <c r="I353" s="103"/>
      <c r="J353" s="103"/>
      <c r="K353" s="103"/>
      <c r="L353" s="103"/>
      <c r="M353" s="104"/>
      <c r="N353" s="103"/>
      <c r="O353" s="103"/>
      <c r="P353" s="103"/>
      <c r="Q353" s="103"/>
      <c r="R353" s="103"/>
      <c r="S353" s="103"/>
      <c r="T353" s="103"/>
      <c r="U353" s="103"/>
      <c r="V353" s="103"/>
      <c r="W353" s="103"/>
      <c r="X353" s="103"/>
      <c r="Y353" s="103"/>
      <c r="Z353" s="299"/>
      <c r="AA353" s="299"/>
      <c r="AB353" s="299"/>
      <c r="AC353" s="299"/>
      <c r="AD353" s="299"/>
      <c r="AE353" s="299"/>
      <c r="AF353" s="299"/>
      <c r="AG353" s="299"/>
      <c r="AH353" s="299"/>
      <c r="AI353" s="299"/>
      <c r="AJ353" s="299"/>
      <c r="AK353" s="299"/>
      <c r="AL353" s="299"/>
      <c r="AM353" s="299"/>
      <c r="AN353" s="299"/>
      <c r="AO353" s="299"/>
      <c r="AP353" s="299"/>
      <c r="AQ353" s="299"/>
      <c r="AR353" s="299"/>
    </row>
    <row r="354" spans="3:44" x14ac:dyDescent="0.2">
      <c r="C354" s="103"/>
      <c r="D354" s="103"/>
      <c r="E354" s="103"/>
      <c r="F354" s="103"/>
      <c r="G354" s="103"/>
      <c r="H354" s="104"/>
      <c r="I354" s="103"/>
      <c r="J354" s="103"/>
      <c r="K354" s="103"/>
      <c r="L354" s="103"/>
      <c r="M354" s="104"/>
      <c r="N354" s="103"/>
      <c r="O354" s="103"/>
      <c r="P354" s="103"/>
      <c r="Q354" s="103"/>
      <c r="R354" s="103"/>
      <c r="S354" s="103"/>
      <c r="T354" s="103"/>
      <c r="U354" s="103"/>
      <c r="V354" s="103"/>
      <c r="W354" s="103"/>
      <c r="X354" s="103"/>
      <c r="Y354" s="103"/>
      <c r="Z354" s="299"/>
      <c r="AA354" s="299"/>
      <c r="AB354" s="299"/>
      <c r="AC354" s="299"/>
      <c r="AD354" s="299"/>
      <c r="AE354" s="299"/>
      <c r="AF354" s="299"/>
      <c r="AG354" s="299"/>
      <c r="AH354" s="299"/>
      <c r="AI354" s="299"/>
      <c r="AJ354" s="299"/>
      <c r="AK354" s="299"/>
      <c r="AL354" s="299"/>
      <c r="AM354" s="299"/>
      <c r="AN354" s="299"/>
      <c r="AO354" s="299"/>
      <c r="AP354" s="299"/>
      <c r="AQ354" s="299"/>
      <c r="AR354" s="299"/>
    </row>
    <row r="355" spans="3:44" x14ac:dyDescent="0.2">
      <c r="C355" s="103"/>
      <c r="D355" s="103"/>
      <c r="E355" s="103"/>
      <c r="F355" s="103"/>
      <c r="G355" s="103"/>
      <c r="H355" s="104"/>
      <c r="I355" s="103"/>
      <c r="J355" s="103"/>
      <c r="K355" s="103"/>
      <c r="L355" s="103"/>
      <c r="M355" s="104"/>
      <c r="N355" s="103"/>
      <c r="O355" s="103"/>
      <c r="P355" s="103"/>
      <c r="Q355" s="103"/>
      <c r="R355" s="103"/>
      <c r="S355" s="103"/>
      <c r="T355" s="103"/>
      <c r="U355" s="103"/>
      <c r="V355" s="103"/>
      <c r="W355" s="103"/>
      <c r="X355" s="103"/>
      <c r="Y355" s="103"/>
      <c r="Z355" s="299"/>
      <c r="AA355" s="299"/>
      <c r="AB355" s="299"/>
      <c r="AC355" s="299"/>
      <c r="AD355" s="299"/>
      <c r="AE355" s="299"/>
      <c r="AF355" s="299"/>
      <c r="AG355" s="299"/>
      <c r="AH355" s="299"/>
      <c r="AI355" s="299"/>
      <c r="AJ355" s="299"/>
      <c r="AK355" s="299"/>
      <c r="AL355" s="299"/>
      <c r="AM355" s="299"/>
      <c r="AN355" s="299"/>
      <c r="AO355" s="299"/>
      <c r="AP355" s="299"/>
      <c r="AQ355" s="299"/>
      <c r="AR355" s="299"/>
    </row>
    <row r="356" spans="3:44" x14ac:dyDescent="0.2">
      <c r="C356" s="103"/>
      <c r="D356" s="103"/>
      <c r="E356" s="103"/>
      <c r="F356" s="103"/>
      <c r="G356" s="103"/>
      <c r="H356" s="104"/>
      <c r="I356" s="103"/>
      <c r="J356" s="103"/>
      <c r="K356" s="103"/>
      <c r="L356" s="103"/>
      <c r="M356" s="104"/>
      <c r="N356" s="103"/>
      <c r="O356" s="103"/>
      <c r="P356" s="103"/>
      <c r="Q356" s="103"/>
      <c r="R356" s="103"/>
      <c r="S356" s="103"/>
      <c r="T356" s="103"/>
      <c r="U356" s="103"/>
      <c r="V356" s="103"/>
      <c r="W356" s="103"/>
      <c r="X356" s="103"/>
      <c r="Y356" s="103"/>
      <c r="Z356" s="299"/>
      <c r="AA356" s="299"/>
      <c r="AB356" s="299"/>
      <c r="AC356" s="299"/>
      <c r="AD356" s="299"/>
      <c r="AE356" s="299"/>
      <c r="AF356" s="299"/>
      <c r="AG356" s="299"/>
      <c r="AH356" s="299"/>
      <c r="AI356" s="299"/>
      <c r="AJ356" s="299"/>
      <c r="AK356" s="299"/>
      <c r="AL356" s="299"/>
      <c r="AM356" s="299"/>
      <c r="AN356" s="299"/>
      <c r="AO356" s="299"/>
      <c r="AP356" s="299"/>
      <c r="AQ356" s="299"/>
      <c r="AR356" s="299"/>
    </row>
    <row r="357" spans="3:44" x14ac:dyDescent="0.2">
      <c r="C357" s="103"/>
      <c r="D357" s="103"/>
      <c r="E357" s="103"/>
      <c r="F357" s="103"/>
      <c r="G357" s="103"/>
      <c r="H357" s="104"/>
      <c r="I357" s="103"/>
      <c r="J357" s="103"/>
      <c r="K357" s="103"/>
      <c r="L357" s="103"/>
      <c r="M357" s="104"/>
      <c r="N357" s="103"/>
      <c r="O357" s="103"/>
      <c r="P357" s="103"/>
      <c r="Q357" s="103"/>
      <c r="R357" s="103"/>
      <c r="S357" s="103"/>
      <c r="T357" s="103"/>
      <c r="U357" s="103"/>
      <c r="V357" s="103"/>
      <c r="W357" s="103"/>
      <c r="X357" s="103"/>
      <c r="Y357" s="103"/>
      <c r="Z357" s="299"/>
      <c r="AA357" s="299"/>
      <c r="AB357" s="299"/>
      <c r="AC357" s="299"/>
      <c r="AD357" s="299"/>
      <c r="AE357" s="299"/>
      <c r="AF357" s="299"/>
      <c r="AG357" s="299"/>
      <c r="AH357" s="299"/>
      <c r="AI357" s="299"/>
      <c r="AJ357" s="299"/>
      <c r="AK357" s="299"/>
      <c r="AL357" s="299"/>
      <c r="AM357" s="299"/>
      <c r="AN357" s="299"/>
      <c r="AO357" s="299"/>
      <c r="AP357" s="299"/>
      <c r="AQ357" s="299"/>
      <c r="AR357" s="299"/>
    </row>
    <row r="358" spans="3:44" x14ac:dyDescent="0.2">
      <c r="C358" s="103"/>
      <c r="D358" s="103"/>
      <c r="E358" s="103"/>
      <c r="F358" s="103"/>
      <c r="G358" s="103"/>
      <c r="H358" s="104"/>
      <c r="I358" s="103"/>
      <c r="J358" s="103"/>
      <c r="K358" s="103"/>
      <c r="L358" s="103"/>
      <c r="M358" s="104"/>
      <c r="N358" s="103"/>
      <c r="O358" s="103"/>
      <c r="P358" s="103"/>
      <c r="Q358" s="103"/>
      <c r="R358" s="103"/>
      <c r="S358" s="103"/>
      <c r="T358" s="103"/>
      <c r="U358" s="103"/>
      <c r="V358" s="103"/>
      <c r="W358" s="103"/>
      <c r="X358" s="103"/>
      <c r="Y358" s="103"/>
      <c r="Z358" s="299"/>
      <c r="AA358" s="299"/>
      <c r="AB358" s="299"/>
      <c r="AC358" s="299"/>
      <c r="AD358" s="299"/>
      <c r="AE358" s="299"/>
      <c r="AF358" s="299"/>
      <c r="AG358" s="299"/>
      <c r="AH358" s="299"/>
      <c r="AI358" s="299"/>
      <c r="AJ358" s="299"/>
      <c r="AK358" s="299"/>
      <c r="AL358" s="299"/>
      <c r="AM358" s="299"/>
      <c r="AN358" s="299"/>
      <c r="AO358" s="299"/>
      <c r="AP358" s="299"/>
      <c r="AQ358" s="299"/>
      <c r="AR358" s="299"/>
    </row>
    <row r="359" spans="3:44" x14ac:dyDescent="0.2">
      <c r="C359" s="103"/>
      <c r="D359" s="103"/>
      <c r="E359" s="103"/>
      <c r="F359" s="103"/>
      <c r="G359" s="103"/>
      <c r="H359" s="104"/>
      <c r="I359" s="103"/>
      <c r="J359" s="103"/>
      <c r="K359" s="103"/>
      <c r="L359" s="103"/>
      <c r="M359" s="104"/>
      <c r="N359" s="103"/>
      <c r="O359" s="103"/>
      <c r="P359" s="103"/>
      <c r="Q359" s="103"/>
      <c r="R359" s="103"/>
      <c r="S359" s="103"/>
      <c r="T359" s="103"/>
      <c r="U359" s="103"/>
      <c r="V359" s="103"/>
      <c r="W359" s="103"/>
      <c r="X359" s="103"/>
      <c r="Y359" s="103"/>
      <c r="Z359" s="299"/>
      <c r="AA359" s="299"/>
      <c r="AB359" s="299"/>
      <c r="AC359" s="299"/>
      <c r="AD359" s="299"/>
      <c r="AE359" s="299"/>
      <c r="AF359" s="299"/>
      <c r="AG359" s="299"/>
      <c r="AH359" s="299"/>
      <c r="AI359" s="299"/>
      <c r="AJ359" s="299"/>
      <c r="AK359" s="299"/>
      <c r="AL359" s="299"/>
      <c r="AM359" s="299"/>
      <c r="AN359" s="299"/>
      <c r="AO359" s="299"/>
      <c r="AP359" s="299"/>
      <c r="AQ359" s="299"/>
      <c r="AR359" s="299"/>
    </row>
    <row r="360" spans="3:44" x14ac:dyDescent="0.2">
      <c r="C360" s="103"/>
      <c r="D360" s="103"/>
      <c r="E360" s="103"/>
      <c r="F360" s="103"/>
      <c r="G360" s="103"/>
      <c r="H360" s="104"/>
      <c r="I360" s="103"/>
      <c r="J360" s="103"/>
      <c r="K360" s="103"/>
      <c r="L360" s="103"/>
      <c r="M360" s="104"/>
      <c r="N360" s="103"/>
      <c r="O360" s="103"/>
      <c r="P360" s="103"/>
      <c r="Q360" s="103"/>
      <c r="R360" s="103"/>
      <c r="S360" s="103"/>
      <c r="T360" s="103"/>
      <c r="U360" s="103"/>
      <c r="V360" s="103"/>
      <c r="W360" s="103"/>
      <c r="X360" s="103"/>
      <c r="Y360" s="103"/>
      <c r="Z360" s="299"/>
      <c r="AA360" s="299"/>
      <c r="AB360" s="299"/>
      <c r="AC360" s="299"/>
      <c r="AD360" s="299"/>
      <c r="AE360" s="299"/>
      <c r="AF360" s="299"/>
      <c r="AG360" s="299"/>
      <c r="AH360" s="299"/>
      <c r="AI360" s="299"/>
      <c r="AJ360" s="299"/>
      <c r="AK360" s="299"/>
      <c r="AL360" s="299"/>
      <c r="AM360" s="299"/>
      <c r="AN360" s="299"/>
      <c r="AO360" s="299"/>
      <c r="AP360" s="299"/>
      <c r="AQ360" s="299"/>
      <c r="AR360" s="299"/>
    </row>
    <row r="361" spans="3:44" x14ac:dyDescent="0.2">
      <c r="C361" s="103"/>
      <c r="D361" s="103"/>
      <c r="E361" s="103"/>
      <c r="F361" s="103"/>
      <c r="G361" s="103"/>
      <c r="H361" s="104"/>
      <c r="I361" s="103"/>
      <c r="J361" s="103"/>
      <c r="K361" s="103"/>
      <c r="L361" s="103"/>
      <c r="M361" s="104"/>
      <c r="N361" s="103"/>
      <c r="O361" s="103"/>
      <c r="P361" s="103"/>
      <c r="Q361" s="103"/>
      <c r="R361" s="103"/>
      <c r="S361" s="103"/>
      <c r="T361" s="103"/>
      <c r="U361" s="103"/>
      <c r="V361" s="103"/>
      <c r="W361" s="103"/>
      <c r="X361" s="103"/>
      <c r="Y361" s="103"/>
      <c r="Z361" s="299"/>
      <c r="AA361" s="299"/>
      <c r="AB361" s="299"/>
      <c r="AC361" s="299"/>
      <c r="AD361" s="299"/>
      <c r="AE361" s="299"/>
      <c r="AF361" s="299"/>
      <c r="AG361" s="299"/>
      <c r="AH361" s="299"/>
      <c r="AI361" s="299"/>
      <c r="AJ361" s="299"/>
      <c r="AK361" s="299"/>
      <c r="AL361" s="299"/>
      <c r="AM361" s="299"/>
      <c r="AN361" s="299"/>
      <c r="AO361" s="299"/>
      <c r="AP361" s="299"/>
      <c r="AQ361" s="299"/>
      <c r="AR361" s="299"/>
    </row>
    <row r="362" spans="3:44" x14ac:dyDescent="0.2">
      <c r="C362" s="103"/>
      <c r="D362" s="103"/>
      <c r="E362" s="103"/>
      <c r="F362" s="103"/>
      <c r="G362" s="103"/>
      <c r="H362" s="104"/>
      <c r="I362" s="103"/>
      <c r="J362" s="103"/>
      <c r="K362" s="103"/>
      <c r="L362" s="103"/>
      <c r="M362" s="104"/>
      <c r="N362" s="103"/>
      <c r="O362" s="103"/>
      <c r="P362" s="103"/>
      <c r="Q362" s="103"/>
      <c r="R362" s="103"/>
      <c r="S362" s="103"/>
      <c r="T362" s="103"/>
      <c r="U362" s="103"/>
      <c r="V362" s="103"/>
      <c r="W362" s="103"/>
      <c r="X362" s="103"/>
      <c r="Y362" s="103"/>
      <c r="Z362" s="299"/>
      <c r="AA362" s="299"/>
      <c r="AB362" s="299"/>
      <c r="AC362" s="299"/>
      <c r="AD362" s="299"/>
      <c r="AE362" s="299"/>
      <c r="AF362" s="299"/>
      <c r="AG362" s="299"/>
      <c r="AH362" s="299"/>
      <c r="AI362" s="299"/>
      <c r="AJ362" s="299"/>
      <c r="AK362" s="299"/>
      <c r="AL362" s="299"/>
      <c r="AM362" s="299"/>
      <c r="AN362" s="299"/>
      <c r="AO362" s="299"/>
      <c r="AP362" s="299"/>
      <c r="AQ362" s="299"/>
      <c r="AR362" s="299"/>
    </row>
    <row r="363" spans="3:44" x14ac:dyDescent="0.2">
      <c r="C363" s="103"/>
      <c r="D363" s="103"/>
      <c r="E363" s="103"/>
      <c r="F363" s="103"/>
      <c r="G363" s="103"/>
      <c r="H363" s="104"/>
      <c r="I363" s="103"/>
      <c r="J363" s="103"/>
      <c r="K363" s="103"/>
      <c r="L363" s="103"/>
      <c r="M363" s="104"/>
      <c r="N363" s="103"/>
      <c r="O363" s="103"/>
      <c r="P363" s="103"/>
      <c r="Q363" s="103"/>
      <c r="R363" s="103"/>
      <c r="S363" s="103"/>
      <c r="T363" s="103"/>
      <c r="U363" s="103"/>
      <c r="V363" s="103"/>
      <c r="W363" s="103"/>
      <c r="X363" s="103"/>
      <c r="Y363" s="103"/>
      <c r="Z363" s="299"/>
      <c r="AA363" s="299"/>
      <c r="AB363" s="299"/>
      <c r="AC363" s="299"/>
      <c r="AD363" s="299"/>
      <c r="AE363" s="299"/>
      <c r="AF363" s="299"/>
      <c r="AG363" s="299"/>
      <c r="AH363" s="299"/>
      <c r="AI363" s="299"/>
      <c r="AJ363" s="299"/>
      <c r="AK363" s="299"/>
      <c r="AL363" s="299"/>
      <c r="AM363" s="299"/>
      <c r="AN363" s="299"/>
      <c r="AO363" s="299"/>
      <c r="AP363" s="299"/>
      <c r="AQ363" s="299"/>
      <c r="AR363" s="299"/>
    </row>
    <row r="364" spans="3:44" x14ac:dyDescent="0.2">
      <c r="C364" s="103"/>
      <c r="D364" s="103"/>
      <c r="E364" s="103"/>
      <c r="F364" s="103"/>
      <c r="G364" s="103"/>
      <c r="H364" s="104"/>
      <c r="I364" s="103"/>
      <c r="J364" s="103"/>
      <c r="K364" s="103"/>
      <c r="L364" s="103"/>
      <c r="M364" s="104"/>
      <c r="N364" s="103"/>
      <c r="O364" s="103"/>
      <c r="P364" s="103"/>
      <c r="Q364" s="103"/>
      <c r="R364" s="103"/>
      <c r="S364" s="103"/>
      <c r="T364" s="103"/>
      <c r="U364" s="103"/>
      <c r="V364" s="103"/>
      <c r="W364" s="103"/>
      <c r="X364" s="103"/>
      <c r="Y364" s="103"/>
      <c r="Z364" s="299"/>
      <c r="AA364" s="299"/>
      <c r="AB364" s="299"/>
      <c r="AC364" s="299"/>
      <c r="AD364" s="299"/>
      <c r="AE364" s="299"/>
      <c r="AF364" s="299"/>
      <c r="AG364" s="299"/>
      <c r="AH364" s="299"/>
      <c r="AI364" s="299"/>
      <c r="AJ364" s="299"/>
      <c r="AK364" s="299"/>
      <c r="AL364" s="299"/>
      <c r="AM364" s="299"/>
      <c r="AN364" s="299"/>
      <c r="AO364" s="299"/>
      <c r="AP364" s="299"/>
      <c r="AQ364" s="299"/>
      <c r="AR364" s="299"/>
    </row>
    <row r="365" spans="3:44" x14ac:dyDescent="0.2">
      <c r="C365" s="103"/>
      <c r="D365" s="103"/>
      <c r="E365" s="103"/>
      <c r="F365" s="103"/>
      <c r="G365" s="103"/>
      <c r="H365" s="104"/>
      <c r="I365" s="103"/>
      <c r="J365" s="103"/>
      <c r="K365" s="103"/>
      <c r="L365" s="103"/>
      <c r="M365" s="104"/>
      <c r="N365" s="103"/>
      <c r="O365" s="103"/>
      <c r="P365" s="103"/>
      <c r="Q365" s="103"/>
      <c r="R365" s="103"/>
      <c r="S365" s="103"/>
      <c r="T365" s="103"/>
      <c r="U365" s="103"/>
      <c r="V365" s="103"/>
      <c r="W365" s="103"/>
      <c r="X365" s="103"/>
      <c r="Y365" s="103"/>
      <c r="Z365" s="299"/>
      <c r="AA365" s="299"/>
      <c r="AB365" s="299"/>
      <c r="AC365" s="299"/>
      <c r="AD365" s="299"/>
      <c r="AE365" s="299"/>
      <c r="AF365" s="299"/>
      <c r="AG365" s="299"/>
      <c r="AH365" s="299"/>
      <c r="AI365" s="299"/>
      <c r="AJ365" s="299"/>
      <c r="AK365" s="299"/>
      <c r="AL365" s="299"/>
      <c r="AM365" s="299"/>
      <c r="AN365" s="299"/>
      <c r="AO365" s="299"/>
      <c r="AP365" s="299"/>
      <c r="AQ365" s="299"/>
      <c r="AR365" s="299"/>
    </row>
    <row r="366" spans="3:44" x14ac:dyDescent="0.2">
      <c r="C366" s="103"/>
      <c r="D366" s="103"/>
      <c r="E366" s="103"/>
      <c r="F366" s="103"/>
      <c r="G366" s="103"/>
      <c r="H366" s="104"/>
      <c r="I366" s="103"/>
      <c r="J366" s="103"/>
      <c r="K366" s="103"/>
      <c r="L366" s="103"/>
      <c r="M366" s="104"/>
      <c r="N366" s="103"/>
      <c r="O366" s="103"/>
      <c r="P366" s="103"/>
      <c r="Q366" s="103"/>
      <c r="R366" s="103"/>
      <c r="S366" s="103"/>
      <c r="T366" s="103"/>
      <c r="U366" s="103"/>
      <c r="V366" s="103"/>
      <c r="W366" s="103"/>
      <c r="X366" s="103"/>
      <c r="Y366" s="103"/>
      <c r="Z366" s="299"/>
      <c r="AA366" s="299"/>
      <c r="AB366" s="299"/>
      <c r="AC366" s="299"/>
      <c r="AD366" s="299"/>
      <c r="AE366" s="299"/>
      <c r="AF366" s="299"/>
      <c r="AG366" s="299"/>
      <c r="AH366" s="299"/>
      <c r="AI366" s="299"/>
      <c r="AJ366" s="299"/>
      <c r="AK366" s="299"/>
      <c r="AL366" s="299"/>
      <c r="AM366" s="299"/>
      <c r="AN366" s="299"/>
      <c r="AO366" s="299"/>
      <c r="AP366" s="299"/>
      <c r="AQ366" s="299"/>
      <c r="AR366" s="299"/>
    </row>
    <row r="367" spans="3:44" x14ac:dyDescent="0.2">
      <c r="C367" s="103"/>
      <c r="D367" s="103"/>
      <c r="E367" s="103"/>
      <c r="F367" s="103"/>
      <c r="G367" s="103"/>
      <c r="H367" s="104"/>
      <c r="I367" s="103"/>
      <c r="J367" s="103"/>
      <c r="K367" s="103"/>
      <c r="L367" s="103"/>
      <c r="M367" s="104"/>
      <c r="N367" s="103"/>
      <c r="O367" s="103"/>
      <c r="P367" s="103"/>
      <c r="Q367" s="103"/>
      <c r="R367" s="103"/>
      <c r="S367" s="103"/>
      <c r="T367" s="103"/>
      <c r="U367" s="103"/>
      <c r="V367" s="103"/>
      <c r="W367" s="103"/>
      <c r="X367" s="103"/>
      <c r="Y367" s="103"/>
      <c r="Z367" s="299"/>
      <c r="AA367" s="299"/>
      <c r="AB367" s="299"/>
      <c r="AC367" s="299"/>
      <c r="AD367" s="299"/>
      <c r="AE367" s="299"/>
      <c r="AF367" s="299"/>
      <c r="AG367" s="299"/>
      <c r="AH367" s="299"/>
      <c r="AI367" s="299"/>
      <c r="AJ367" s="299"/>
      <c r="AK367" s="299"/>
      <c r="AL367" s="299"/>
      <c r="AM367" s="299"/>
      <c r="AN367" s="299"/>
      <c r="AO367" s="299"/>
      <c r="AP367" s="299"/>
      <c r="AQ367" s="299"/>
      <c r="AR367" s="299"/>
    </row>
    <row r="368" spans="3:44" x14ac:dyDescent="0.2">
      <c r="C368" s="103"/>
      <c r="D368" s="103"/>
      <c r="E368" s="103"/>
      <c r="F368" s="103"/>
      <c r="G368" s="103"/>
      <c r="H368" s="104"/>
      <c r="I368" s="103"/>
      <c r="J368" s="103"/>
      <c r="K368" s="103"/>
      <c r="L368" s="103"/>
      <c r="M368" s="104"/>
      <c r="N368" s="103"/>
      <c r="O368" s="103"/>
      <c r="P368" s="103"/>
      <c r="Q368" s="103"/>
      <c r="R368" s="103"/>
      <c r="S368" s="103"/>
      <c r="T368" s="103"/>
      <c r="U368" s="103"/>
      <c r="V368" s="103"/>
      <c r="W368" s="103"/>
      <c r="X368" s="103"/>
      <c r="Y368" s="103"/>
      <c r="Z368" s="299"/>
      <c r="AA368" s="299"/>
      <c r="AB368" s="299"/>
      <c r="AC368" s="299"/>
      <c r="AD368" s="299"/>
      <c r="AE368" s="299"/>
      <c r="AF368" s="299"/>
      <c r="AG368" s="299"/>
      <c r="AH368" s="299"/>
      <c r="AI368" s="299"/>
      <c r="AJ368" s="299"/>
      <c r="AK368" s="299"/>
      <c r="AL368" s="299"/>
      <c r="AM368" s="299"/>
      <c r="AN368" s="299"/>
      <c r="AO368" s="299"/>
      <c r="AP368" s="299"/>
      <c r="AQ368" s="299"/>
      <c r="AR368" s="299"/>
    </row>
    <row r="369" spans="3:44" x14ac:dyDescent="0.2">
      <c r="C369" s="103"/>
      <c r="D369" s="103"/>
      <c r="E369" s="103"/>
      <c r="F369" s="103"/>
      <c r="G369" s="103"/>
      <c r="H369" s="104"/>
      <c r="I369" s="103"/>
      <c r="J369" s="103"/>
      <c r="K369" s="103"/>
      <c r="L369" s="103"/>
      <c r="M369" s="104"/>
      <c r="N369" s="103"/>
      <c r="O369" s="103"/>
      <c r="P369" s="103"/>
      <c r="Q369" s="103"/>
      <c r="R369" s="103"/>
      <c r="S369" s="103"/>
      <c r="T369" s="103"/>
      <c r="U369" s="103"/>
      <c r="V369" s="103"/>
      <c r="W369" s="103"/>
      <c r="X369" s="103"/>
      <c r="Y369" s="103"/>
      <c r="Z369" s="299"/>
      <c r="AA369" s="299"/>
      <c r="AB369" s="299"/>
      <c r="AC369" s="299"/>
      <c r="AD369" s="299"/>
      <c r="AE369" s="299"/>
      <c r="AF369" s="299"/>
      <c r="AG369" s="299"/>
      <c r="AH369" s="299"/>
      <c r="AI369" s="299"/>
      <c r="AJ369" s="299"/>
      <c r="AK369" s="299"/>
      <c r="AL369" s="299"/>
      <c r="AM369" s="299"/>
      <c r="AN369" s="299"/>
      <c r="AO369" s="299"/>
      <c r="AP369" s="299"/>
      <c r="AQ369" s="299"/>
      <c r="AR369" s="299"/>
    </row>
    <row r="370" spans="3:44" x14ac:dyDescent="0.2">
      <c r="C370" s="103"/>
      <c r="D370" s="103"/>
      <c r="E370" s="103"/>
      <c r="F370" s="103"/>
      <c r="G370" s="103"/>
      <c r="H370" s="104"/>
      <c r="I370" s="103"/>
      <c r="J370" s="103"/>
      <c r="K370" s="103"/>
      <c r="L370" s="103"/>
      <c r="M370" s="104"/>
      <c r="N370" s="103"/>
      <c r="O370" s="103"/>
      <c r="P370" s="103"/>
      <c r="Q370" s="103"/>
      <c r="R370" s="103"/>
      <c r="S370" s="103"/>
      <c r="T370" s="103"/>
      <c r="U370" s="103"/>
      <c r="V370" s="103"/>
      <c r="W370" s="103"/>
      <c r="X370" s="103"/>
      <c r="Y370" s="103"/>
      <c r="Z370" s="299"/>
      <c r="AA370" s="299"/>
      <c r="AB370" s="299"/>
      <c r="AC370" s="299"/>
      <c r="AD370" s="299"/>
      <c r="AE370" s="299"/>
      <c r="AF370" s="299"/>
      <c r="AG370" s="299"/>
      <c r="AH370" s="299"/>
      <c r="AI370" s="299"/>
      <c r="AJ370" s="299"/>
      <c r="AK370" s="299"/>
      <c r="AL370" s="299"/>
      <c r="AM370" s="299"/>
      <c r="AN370" s="299"/>
      <c r="AO370" s="299"/>
      <c r="AP370" s="299"/>
      <c r="AQ370" s="299"/>
      <c r="AR370" s="299"/>
    </row>
    <row r="371" spans="3:44" x14ac:dyDescent="0.2">
      <c r="C371" s="103"/>
      <c r="D371" s="103"/>
      <c r="E371" s="103"/>
      <c r="F371" s="103"/>
      <c r="G371" s="103"/>
      <c r="H371" s="104"/>
      <c r="I371" s="103"/>
      <c r="J371" s="103"/>
      <c r="K371" s="103"/>
      <c r="L371" s="103"/>
      <c r="M371" s="104"/>
      <c r="N371" s="103"/>
      <c r="O371" s="103"/>
      <c r="P371" s="103"/>
      <c r="Q371" s="103"/>
      <c r="R371" s="103"/>
      <c r="S371" s="103"/>
      <c r="T371" s="103"/>
      <c r="U371" s="103"/>
      <c r="V371" s="103"/>
      <c r="W371" s="103"/>
      <c r="X371" s="103"/>
      <c r="Y371" s="103"/>
      <c r="Z371" s="299"/>
      <c r="AA371" s="299"/>
      <c r="AB371" s="299"/>
      <c r="AC371" s="299"/>
      <c r="AD371" s="299"/>
      <c r="AE371" s="299"/>
      <c r="AF371" s="299"/>
      <c r="AG371" s="299"/>
      <c r="AH371" s="299"/>
      <c r="AI371" s="299"/>
      <c r="AJ371" s="299"/>
      <c r="AK371" s="299"/>
      <c r="AL371" s="299"/>
      <c r="AM371" s="299"/>
      <c r="AN371" s="299"/>
      <c r="AO371" s="299"/>
      <c r="AP371" s="299"/>
      <c r="AQ371" s="299"/>
      <c r="AR371" s="299"/>
    </row>
    <row r="372" spans="3:44" x14ac:dyDescent="0.2">
      <c r="C372" s="103"/>
      <c r="D372" s="103"/>
      <c r="E372" s="103"/>
      <c r="F372" s="103"/>
      <c r="G372" s="103"/>
      <c r="H372" s="104"/>
      <c r="I372" s="103"/>
      <c r="J372" s="103"/>
      <c r="K372" s="103"/>
      <c r="L372" s="103"/>
      <c r="M372" s="104"/>
      <c r="N372" s="103"/>
      <c r="O372" s="103"/>
      <c r="P372" s="103"/>
      <c r="Q372" s="103"/>
      <c r="R372" s="103"/>
      <c r="S372" s="103"/>
      <c r="T372" s="103"/>
      <c r="U372" s="103"/>
      <c r="V372" s="103"/>
      <c r="W372" s="103"/>
      <c r="X372" s="103"/>
      <c r="Y372" s="103"/>
      <c r="Z372" s="299"/>
      <c r="AA372" s="299"/>
      <c r="AB372" s="299"/>
      <c r="AC372" s="299"/>
      <c r="AD372" s="299"/>
      <c r="AE372" s="299"/>
      <c r="AF372" s="299"/>
      <c r="AG372" s="299"/>
      <c r="AH372" s="299"/>
      <c r="AI372" s="299"/>
      <c r="AJ372" s="299"/>
      <c r="AK372" s="299"/>
      <c r="AL372" s="299"/>
      <c r="AM372" s="299"/>
      <c r="AN372" s="299"/>
      <c r="AO372" s="299"/>
      <c r="AP372" s="299"/>
      <c r="AQ372" s="299"/>
      <c r="AR372" s="299"/>
    </row>
    <row r="373" spans="3:44" x14ac:dyDescent="0.2">
      <c r="C373" s="103"/>
      <c r="D373" s="103"/>
      <c r="E373" s="103"/>
      <c r="F373" s="103"/>
      <c r="G373" s="103"/>
      <c r="H373" s="104"/>
      <c r="I373" s="103"/>
      <c r="J373" s="103"/>
      <c r="K373" s="103"/>
      <c r="L373" s="103"/>
      <c r="M373" s="104"/>
      <c r="N373" s="103"/>
      <c r="O373" s="103"/>
      <c r="P373" s="103"/>
      <c r="Q373" s="103"/>
      <c r="R373" s="103"/>
      <c r="S373" s="103"/>
      <c r="T373" s="103"/>
      <c r="U373" s="103"/>
      <c r="V373" s="103"/>
      <c r="W373" s="103"/>
      <c r="X373" s="103"/>
      <c r="Y373" s="103"/>
      <c r="Z373" s="299"/>
      <c r="AA373" s="299"/>
      <c r="AB373" s="299"/>
      <c r="AC373" s="299"/>
      <c r="AD373" s="299"/>
      <c r="AE373" s="299"/>
      <c r="AF373" s="299"/>
      <c r="AG373" s="299"/>
      <c r="AH373" s="299"/>
      <c r="AI373" s="299"/>
      <c r="AJ373" s="299"/>
      <c r="AK373" s="299"/>
      <c r="AL373" s="299"/>
      <c r="AM373" s="299"/>
      <c r="AN373" s="299"/>
      <c r="AO373" s="299"/>
      <c r="AP373" s="299"/>
      <c r="AQ373" s="299"/>
      <c r="AR373" s="299"/>
    </row>
    <row r="374" spans="3:44" x14ac:dyDescent="0.2">
      <c r="C374" s="103"/>
      <c r="D374" s="103"/>
      <c r="E374" s="103"/>
      <c r="F374" s="103"/>
      <c r="G374" s="103"/>
      <c r="H374" s="104"/>
      <c r="I374" s="103"/>
      <c r="J374" s="103"/>
      <c r="K374" s="103"/>
      <c r="L374" s="103"/>
      <c r="M374" s="104"/>
      <c r="N374" s="103"/>
      <c r="O374" s="103"/>
      <c r="P374" s="103"/>
      <c r="Q374" s="103"/>
      <c r="R374" s="103"/>
      <c r="S374" s="103"/>
      <c r="T374" s="103"/>
      <c r="U374" s="103"/>
      <c r="V374" s="103"/>
      <c r="W374" s="103"/>
      <c r="X374" s="103"/>
      <c r="Y374" s="103"/>
      <c r="Z374" s="299"/>
      <c r="AA374" s="299"/>
      <c r="AB374" s="299"/>
      <c r="AC374" s="299"/>
      <c r="AD374" s="299"/>
      <c r="AE374" s="299"/>
      <c r="AF374" s="299"/>
      <c r="AG374" s="299"/>
      <c r="AH374" s="299"/>
      <c r="AI374" s="299"/>
      <c r="AJ374" s="299"/>
      <c r="AK374" s="299"/>
      <c r="AL374" s="299"/>
      <c r="AM374" s="299"/>
      <c r="AN374" s="299"/>
      <c r="AO374" s="299"/>
      <c r="AP374" s="299"/>
      <c r="AQ374" s="299"/>
      <c r="AR374" s="299"/>
    </row>
    <row r="375" spans="3:44" x14ac:dyDescent="0.2">
      <c r="C375" s="103"/>
      <c r="D375" s="103"/>
      <c r="E375" s="103"/>
      <c r="F375" s="103"/>
      <c r="G375" s="103"/>
      <c r="H375" s="104"/>
      <c r="I375" s="103"/>
      <c r="J375" s="103"/>
      <c r="K375" s="103"/>
      <c r="L375" s="103"/>
      <c r="M375" s="104"/>
      <c r="N375" s="103"/>
      <c r="O375" s="103"/>
      <c r="P375" s="103"/>
      <c r="Q375" s="103"/>
      <c r="R375" s="103"/>
      <c r="S375" s="103"/>
      <c r="T375" s="103"/>
      <c r="U375" s="103"/>
      <c r="V375" s="103"/>
      <c r="W375" s="103"/>
      <c r="X375" s="103"/>
      <c r="Y375" s="103"/>
      <c r="Z375" s="299"/>
      <c r="AA375" s="299"/>
      <c r="AB375" s="299"/>
      <c r="AC375" s="299"/>
      <c r="AD375" s="299"/>
      <c r="AE375" s="299"/>
      <c r="AF375" s="299"/>
      <c r="AG375" s="299"/>
      <c r="AH375" s="299"/>
      <c r="AI375" s="299"/>
      <c r="AJ375" s="299"/>
      <c r="AK375" s="299"/>
      <c r="AL375" s="299"/>
      <c r="AM375" s="299"/>
      <c r="AN375" s="299"/>
      <c r="AO375" s="299"/>
      <c r="AP375" s="299"/>
      <c r="AQ375" s="299"/>
      <c r="AR375" s="299"/>
    </row>
    <row r="376" spans="3:44" x14ac:dyDescent="0.2">
      <c r="C376" s="103"/>
      <c r="D376" s="103"/>
      <c r="E376" s="103"/>
      <c r="F376" s="103"/>
      <c r="G376" s="103"/>
      <c r="H376" s="104"/>
      <c r="I376" s="103"/>
      <c r="J376" s="103"/>
      <c r="K376" s="103"/>
      <c r="L376" s="103"/>
      <c r="M376" s="104"/>
      <c r="N376" s="103"/>
      <c r="O376" s="103"/>
      <c r="P376" s="103"/>
      <c r="Q376" s="103"/>
      <c r="R376" s="103"/>
      <c r="S376" s="103"/>
      <c r="T376" s="103"/>
      <c r="U376" s="103"/>
      <c r="V376" s="103"/>
      <c r="W376" s="103"/>
      <c r="X376" s="103"/>
      <c r="Y376" s="103"/>
      <c r="Z376" s="299"/>
      <c r="AA376" s="299"/>
      <c r="AB376" s="299"/>
      <c r="AC376" s="299"/>
      <c r="AD376" s="299"/>
      <c r="AE376" s="299"/>
      <c r="AF376" s="299"/>
      <c r="AG376" s="299"/>
      <c r="AH376" s="299"/>
      <c r="AI376" s="299"/>
      <c r="AJ376" s="299"/>
      <c r="AK376" s="299"/>
      <c r="AL376" s="299"/>
      <c r="AM376" s="299"/>
      <c r="AN376" s="299"/>
      <c r="AO376" s="299"/>
      <c r="AP376" s="299"/>
      <c r="AQ376" s="299"/>
      <c r="AR376" s="299"/>
    </row>
    <row r="377" spans="3:44" x14ac:dyDescent="0.2">
      <c r="C377" s="103"/>
      <c r="D377" s="103"/>
      <c r="E377" s="103"/>
      <c r="F377" s="103"/>
      <c r="G377" s="103"/>
      <c r="H377" s="104"/>
      <c r="I377" s="103"/>
      <c r="J377" s="103"/>
      <c r="K377" s="103"/>
      <c r="L377" s="103"/>
      <c r="M377" s="104"/>
      <c r="N377" s="103"/>
      <c r="O377" s="103"/>
      <c r="P377" s="103"/>
      <c r="Q377" s="103"/>
      <c r="R377" s="103"/>
      <c r="S377" s="103"/>
      <c r="T377" s="103"/>
      <c r="U377" s="103"/>
      <c r="V377" s="103"/>
      <c r="W377" s="103"/>
      <c r="X377" s="103"/>
      <c r="Y377" s="103"/>
      <c r="Z377" s="299"/>
      <c r="AA377" s="299"/>
      <c r="AB377" s="299"/>
      <c r="AC377" s="299"/>
      <c r="AD377" s="299"/>
      <c r="AE377" s="299"/>
      <c r="AF377" s="299"/>
      <c r="AG377" s="299"/>
      <c r="AH377" s="299"/>
      <c r="AI377" s="299"/>
      <c r="AJ377" s="299"/>
      <c r="AK377" s="299"/>
      <c r="AL377" s="299"/>
      <c r="AM377" s="299"/>
      <c r="AN377" s="299"/>
      <c r="AO377" s="299"/>
      <c r="AP377" s="299"/>
      <c r="AQ377" s="299"/>
      <c r="AR377" s="299"/>
    </row>
    <row r="378" spans="3:44" x14ac:dyDescent="0.2">
      <c r="C378" s="103"/>
      <c r="D378" s="103"/>
      <c r="E378" s="103"/>
      <c r="F378" s="103"/>
      <c r="G378" s="103"/>
      <c r="H378" s="104"/>
      <c r="I378" s="103"/>
      <c r="J378" s="103"/>
      <c r="K378" s="103"/>
      <c r="L378" s="103"/>
      <c r="M378" s="104"/>
      <c r="N378" s="103"/>
      <c r="O378" s="103"/>
      <c r="P378" s="103"/>
      <c r="Q378" s="103"/>
      <c r="R378" s="103"/>
      <c r="S378" s="103"/>
      <c r="T378" s="103"/>
      <c r="U378" s="103"/>
      <c r="V378" s="103"/>
      <c r="W378" s="103"/>
      <c r="X378" s="103"/>
      <c r="Y378" s="103"/>
      <c r="Z378" s="299"/>
      <c r="AA378" s="299"/>
      <c r="AB378" s="299"/>
      <c r="AC378" s="299"/>
      <c r="AD378" s="299"/>
      <c r="AE378" s="299"/>
      <c r="AF378" s="299"/>
      <c r="AG378" s="299"/>
      <c r="AH378" s="299"/>
      <c r="AI378" s="299"/>
      <c r="AJ378" s="299"/>
      <c r="AK378" s="299"/>
      <c r="AL378" s="299"/>
      <c r="AM378" s="299"/>
      <c r="AN378" s="299"/>
      <c r="AO378" s="299"/>
      <c r="AP378" s="299"/>
      <c r="AQ378" s="299"/>
      <c r="AR378" s="299"/>
    </row>
    <row r="379" spans="3:44" x14ac:dyDescent="0.2">
      <c r="C379" s="103"/>
      <c r="D379" s="103"/>
      <c r="E379" s="103"/>
      <c r="F379" s="103"/>
      <c r="G379" s="103"/>
      <c r="H379" s="104"/>
      <c r="I379" s="103"/>
      <c r="J379" s="103"/>
      <c r="K379" s="103"/>
      <c r="L379" s="103"/>
      <c r="M379" s="104"/>
      <c r="N379" s="103"/>
      <c r="O379" s="103"/>
      <c r="P379" s="103"/>
      <c r="Q379" s="103"/>
      <c r="R379" s="103"/>
      <c r="S379" s="103"/>
      <c r="T379" s="103"/>
      <c r="U379" s="103"/>
      <c r="V379" s="103"/>
      <c r="W379" s="103"/>
      <c r="X379" s="103"/>
      <c r="Y379" s="103"/>
      <c r="Z379" s="299"/>
      <c r="AA379" s="299"/>
      <c r="AB379" s="299"/>
      <c r="AC379" s="299"/>
      <c r="AD379" s="299"/>
      <c r="AE379" s="299"/>
      <c r="AF379" s="299"/>
      <c r="AG379" s="299"/>
      <c r="AH379" s="299"/>
      <c r="AI379" s="299"/>
      <c r="AJ379" s="299"/>
      <c r="AK379" s="299"/>
      <c r="AL379" s="299"/>
      <c r="AM379" s="299"/>
      <c r="AN379" s="299"/>
      <c r="AO379" s="299"/>
      <c r="AP379" s="299"/>
      <c r="AQ379" s="299"/>
      <c r="AR379" s="299"/>
    </row>
    <row r="380" spans="3:44" x14ac:dyDescent="0.2">
      <c r="C380" s="103"/>
      <c r="D380" s="103"/>
      <c r="E380" s="103"/>
      <c r="F380" s="103"/>
      <c r="G380" s="103"/>
      <c r="H380" s="104"/>
      <c r="I380" s="103"/>
      <c r="J380" s="103"/>
      <c r="K380" s="103"/>
      <c r="L380" s="103"/>
      <c r="M380" s="104"/>
      <c r="N380" s="103"/>
      <c r="O380" s="103"/>
      <c r="P380" s="103"/>
      <c r="Q380" s="103"/>
      <c r="R380" s="103"/>
      <c r="S380" s="103"/>
      <c r="T380" s="103"/>
      <c r="U380" s="103"/>
      <c r="V380" s="103"/>
      <c r="W380" s="103"/>
      <c r="X380" s="103"/>
      <c r="Y380" s="103"/>
      <c r="Z380" s="299"/>
      <c r="AA380" s="299"/>
      <c r="AB380" s="299"/>
      <c r="AC380" s="299"/>
      <c r="AD380" s="299"/>
      <c r="AE380" s="299"/>
      <c r="AF380" s="299"/>
      <c r="AG380" s="299"/>
      <c r="AH380" s="299"/>
      <c r="AI380" s="299"/>
      <c r="AJ380" s="299"/>
      <c r="AK380" s="299"/>
      <c r="AL380" s="299"/>
      <c r="AM380" s="299"/>
      <c r="AN380" s="299"/>
      <c r="AO380" s="299"/>
      <c r="AP380" s="299"/>
      <c r="AQ380" s="299"/>
      <c r="AR380" s="299"/>
    </row>
    <row r="381" spans="3:44" x14ac:dyDescent="0.2">
      <c r="C381" s="103"/>
      <c r="D381" s="103"/>
      <c r="E381" s="103"/>
      <c r="F381" s="103"/>
      <c r="G381" s="103"/>
      <c r="H381" s="104"/>
      <c r="I381" s="103"/>
      <c r="J381" s="103"/>
      <c r="K381" s="103"/>
      <c r="L381" s="103"/>
      <c r="M381" s="104"/>
      <c r="N381" s="103"/>
      <c r="O381" s="103"/>
      <c r="P381" s="103"/>
      <c r="Q381" s="103"/>
      <c r="R381" s="103"/>
      <c r="S381" s="103"/>
      <c r="T381" s="103"/>
      <c r="U381" s="103"/>
      <c r="V381" s="103"/>
      <c r="W381" s="103"/>
      <c r="X381" s="103"/>
      <c r="Y381" s="103"/>
      <c r="Z381" s="299"/>
      <c r="AA381" s="299"/>
      <c r="AB381" s="299"/>
      <c r="AC381" s="299"/>
      <c r="AD381" s="299"/>
      <c r="AE381" s="299"/>
      <c r="AF381" s="299"/>
      <c r="AG381" s="299"/>
      <c r="AH381" s="299"/>
      <c r="AI381" s="299"/>
      <c r="AJ381" s="299"/>
      <c r="AK381" s="299"/>
      <c r="AL381" s="299"/>
      <c r="AM381" s="299"/>
      <c r="AN381" s="299"/>
      <c r="AO381" s="299"/>
      <c r="AP381" s="299"/>
      <c r="AQ381" s="299"/>
      <c r="AR381" s="299"/>
    </row>
    <row r="382" spans="3:44" x14ac:dyDescent="0.2">
      <c r="C382" s="103"/>
      <c r="D382" s="103"/>
      <c r="E382" s="103"/>
      <c r="F382" s="103"/>
      <c r="G382" s="103"/>
      <c r="H382" s="104"/>
      <c r="I382" s="103"/>
      <c r="J382" s="103"/>
      <c r="K382" s="103"/>
      <c r="L382" s="103"/>
      <c r="M382" s="104"/>
      <c r="N382" s="103"/>
      <c r="O382" s="103"/>
      <c r="P382" s="103"/>
      <c r="Q382" s="103"/>
      <c r="R382" s="103"/>
      <c r="S382" s="103"/>
      <c r="T382" s="103"/>
      <c r="U382" s="103"/>
      <c r="V382" s="103"/>
      <c r="W382" s="103"/>
      <c r="X382" s="103"/>
      <c r="Y382" s="103"/>
      <c r="Z382" s="299"/>
      <c r="AA382" s="299"/>
      <c r="AB382" s="299"/>
      <c r="AC382" s="299"/>
      <c r="AD382" s="299"/>
      <c r="AE382" s="299"/>
      <c r="AF382" s="299"/>
      <c r="AG382" s="299"/>
      <c r="AH382" s="299"/>
      <c r="AI382" s="299"/>
      <c r="AJ382" s="299"/>
      <c r="AK382" s="299"/>
      <c r="AL382" s="299"/>
      <c r="AM382" s="299"/>
      <c r="AN382" s="299"/>
      <c r="AO382" s="299"/>
      <c r="AP382" s="299"/>
      <c r="AQ382" s="299"/>
      <c r="AR382" s="299"/>
    </row>
    <row r="383" spans="3:44" x14ac:dyDescent="0.2">
      <c r="C383" s="103"/>
      <c r="D383" s="103"/>
      <c r="E383" s="103"/>
      <c r="F383" s="103"/>
      <c r="G383" s="103"/>
      <c r="H383" s="104"/>
      <c r="I383" s="103"/>
      <c r="J383" s="103"/>
      <c r="K383" s="103"/>
      <c r="L383" s="103"/>
      <c r="M383" s="104"/>
      <c r="N383" s="103"/>
      <c r="O383" s="103"/>
      <c r="P383" s="103"/>
      <c r="Q383" s="103"/>
      <c r="R383" s="103"/>
      <c r="S383" s="103"/>
      <c r="T383" s="103"/>
      <c r="U383" s="103"/>
      <c r="V383" s="103"/>
      <c r="W383" s="103"/>
      <c r="X383" s="103"/>
      <c r="Y383" s="103"/>
      <c r="Z383" s="299"/>
      <c r="AA383" s="299"/>
      <c r="AB383" s="299"/>
      <c r="AC383" s="299"/>
      <c r="AD383" s="299"/>
      <c r="AE383" s="299"/>
      <c r="AF383" s="299"/>
      <c r="AG383" s="299"/>
      <c r="AH383" s="299"/>
      <c r="AI383" s="299"/>
      <c r="AJ383" s="299"/>
      <c r="AK383" s="299"/>
      <c r="AL383" s="299"/>
      <c r="AM383" s="299"/>
      <c r="AN383" s="299"/>
      <c r="AO383" s="299"/>
      <c r="AP383" s="299"/>
      <c r="AQ383" s="299"/>
      <c r="AR383" s="299"/>
    </row>
    <row r="384" spans="3:44" x14ac:dyDescent="0.2">
      <c r="C384" s="103"/>
      <c r="D384" s="103"/>
      <c r="E384" s="103"/>
      <c r="F384" s="103"/>
      <c r="G384" s="103"/>
      <c r="H384" s="104"/>
      <c r="I384" s="103"/>
      <c r="J384" s="103"/>
      <c r="K384" s="103"/>
      <c r="L384" s="103"/>
      <c r="M384" s="104"/>
      <c r="N384" s="103"/>
      <c r="O384" s="103"/>
      <c r="P384" s="103"/>
      <c r="Q384" s="103"/>
      <c r="R384" s="103"/>
      <c r="S384" s="103"/>
      <c r="T384" s="103"/>
      <c r="U384" s="103"/>
      <c r="V384" s="103"/>
      <c r="W384" s="103"/>
      <c r="X384" s="103"/>
      <c r="Y384" s="103"/>
      <c r="Z384" s="299"/>
      <c r="AA384" s="299"/>
      <c r="AB384" s="299"/>
      <c r="AC384" s="299"/>
      <c r="AD384" s="299"/>
      <c r="AE384" s="299"/>
      <c r="AF384" s="299"/>
      <c r="AG384" s="299"/>
      <c r="AH384" s="299"/>
      <c r="AI384" s="299"/>
      <c r="AJ384" s="299"/>
      <c r="AK384" s="299"/>
      <c r="AL384" s="299"/>
      <c r="AM384" s="299"/>
      <c r="AN384" s="299"/>
      <c r="AO384" s="299"/>
      <c r="AP384" s="299"/>
      <c r="AQ384" s="299"/>
      <c r="AR384" s="299"/>
    </row>
    <row r="385" spans="3:44" x14ac:dyDescent="0.2">
      <c r="C385" s="103"/>
      <c r="D385" s="103"/>
      <c r="E385" s="103"/>
      <c r="F385" s="103"/>
      <c r="G385" s="103"/>
      <c r="H385" s="104"/>
      <c r="I385" s="103"/>
      <c r="J385" s="103"/>
      <c r="K385" s="103"/>
      <c r="L385" s="103"/>
      <c r="M385" s="104"/>
      <c r="N385" s="103"/>
      <c r="O385" s="103"/>
      <c r="P385" s="103"/>
      <c r="Q385" s="103"/>
      <c r="R385" s="103"/>
      <c r="S385" s="103"/>
      <c r="T385" s="103"/>
      <c r="U385" s="103"/>
      <c r="V385" s="103"/>
      <c r="W385" s="103"/>
      <c r="X385" s="103"/>
      <c r="Y385" s="103"/>
      <c r="Z385" s="299"/>
      <c r="AA385" s="299"/>
      <c r="AB385" s="299"/>
      <c r="AC385" s="299"/>
      <c r="AD385" s="299"/>
      <c r="AE385" s="299"/>
      <c r="AF385" s="299"/>
      <c r="AG385" s="299"/>
      <c r="AH385" s="299"/>
      <c r="AI385" s="299"/>
      <c r="AJ385" s="299"/>
      <c r="AK385" s="299"/>
      <c r="AL385" s="299"/>
      <c r="AM385" s="299"/>
      <c r="AN385" s="299"/>
      <c r="AO385" s="299"/>
      <c r="AP385" s="299"/>
      <c r="AQ385" s="299"/>
      <c r="AR385" s="299"/>
    </row>
    <row r="386" spans="3:44" x14ac:dyDescent="0.2">
      <c r="C386" s="103"/>
      <c r="D386" s="103"/>
      <c r="E386" s="103"/>
      <c r="F386" s="103"/>
      <c r="G386" s="103"/>
      <c r="H386" s="104"/>
      <c r="I386" s="103"/>
      <c r="J386" s="103"/>
      <c r="K386" s="103"/>
      <c r="L386" s="103"/>
      <c r="M386" s="104"/>
      <c r="N386" s="103"/>
      <c r="O386" s="103"/>
      <c r="P386" s="103"/>
      <c r="Q386" s="103"/>
      <c r="R386" s="103"/>
      <c r="S386" s="103"/>
      <c r="T386" s="103"/>
      <c r="U386" s="103"/>
      <c r="V386" s="103"/>
      <c r="W386" s="103"/>
      <c r="X386" s="103"/>
      <c r="Y386" s="103"/>
      <c r="Z386" s="299"/>
      <c r="AA386" s="299"/>
      <c r="AB386" s="299"/>
      <c r="AC386" s="299"/>
      <c r="AD386" s="299"/>
      <c r="AE386" s="299"/>
      <c r="AF386" s="299"/>
      <c r="AG386" s="299"/>
      <c r="AH386" s="299"/>
      <c r="AI386" s="299"/>
      <c r="AJ386" s="299"/>
      <c r="AK386" s="299"/>
      <c r="AL386" s="299"/>
      <c r="AM386" s="299"/>
      <c r="AN386" s="299"/>
      <c r="AO386" s="299"/>
      <c r="AP386" s="299"/>
      <c r="AQ386" s="299"/>
      <c r="AR386" s="299"/>
    </row>
    <row r="387" spans="3:44" x14ac:dyDescent="0.2">
      <c r="C387" s="103"/>
      <c r="D387" s="103"/>
      <c r="E387" s="103"/>
      <c r="F387" s="103"/>
      <c r="G387" s="103"/>
      <c r="H387" s="104"/>
      <c r="I387" s="103"/>
      <c r="J387" s="103"/>
      <c r="K387" s="103"/>
      <c r="L387" s="103"/>
      <c r="M387" s="104"/>
      <c r="N387" s="103"/>
      <c r="O387" s="103"/>
      <c r="P387" s="103"/>
      <c r="Q387" s="103"/>
      <c r="R387" s="103"/>
      <c r="S387" s="103"/>
      <c r="T387" s="103"/>
      <c r="U387" s="103"/>
      <c r="V387" s="103"/>
      <c r="W387" s="103"/>
      <c r="X387" s="103"/>
      <c r="Y387" s="103"/>
      <c r="Z387" s="299"/>
      <c r="AA387" s="299"/>
      <c r="AB387" s="299"/>
      <c r="AC387" s="299"/>
      <c r="AD387" s="299"/>
      <c r="AE387" s="299"/>
      <c r="AF387" s="299"/>
      <c r="AG387" s="299"/>
      <c r="AH387" s="299"/>
      <c r="AI387" s="299"/>
      <c r="AJ387" s="299"/>
      <c r="AK387" s="299"/>
      <c r="AL387" s="299"/>
      <c r="AM387" s="299"/>
      <c r="AN387" s="299"/>
      <c r="AO387" s="299"/>
      <c r="AP387" s="299"/>
      <c r="AQ387" s="299"/>
      <c r="AR387" s="299"/>
    </row>
    <row r="388" spans="3:44" x14ac:dyDescent="0.2">
      <c r="C388" s="103"/>
      <c r="D388" s="103"/>
      <c r="E388" s="103"/>
      <c r="F388" s="103"/>
      <c r="G388" s="103"/>
      <c r="H388" s="104"/>
      <c r="I388" s="103"/>
      <c r="J388" s="103"/>
      <c r="K388" s="103"/>
      <c r="L388" s="103"/>
      <c r="M388" s="104"/>
      <c r="N388" s="103"/>
      <c r="O388" s="103"/>
      <c r="P388" s="103"/>
      <c r="Q388" s="103"/>
      <c r="R388" s="103"/>
      <c r="S388" s="103"/>
      <c r="T388" s="103"/>
      <c r="U388" s="103"/>
      <c r="V388" s="103"/>
      <c r="W388" s="103"/>
      <c r="X388" s="103"/>
      <c r="Y388" s="103"/>
      <c r="Z388" s="299"/>
      <c r="AA388" s="299"/>
      <c r="AB388" s="299"/>
      <c r="AC388" s="299"/>
      <c r="AD388" s="299"/>
      <c r="AE388" s="299"/>
      <c r="AF388" s="299"/>
      <c r="AG388" s="299"/>
      <c r="AH388" s="299"/>
      <c r="AI388" s="299"/>
      <c r="AJ388" s="299"/>
      <c r="AK388" s="299"/>
      <c r="AL388" s="299"/>
      <c r="AM388" s="299"/>
      <c r="AN388" s="299"/>
      <c r="AO388" s="299"/>
      <c r="AP388" s="299"/>
      <c r="AQ388" s="299"/>
      <c r="AR388" s="299"/>
    </row>
    <row r="389" spans="3:44" x14ac:dyDescent="0.2">
      <c r="C389" s="103"/>
      <c r="D389" s="103"/>
      <c r="E389" s="103"/>
      <c r="F389" s="103"/>
      <c r="G389" s="103"/>
      <c r="H389" s="104"/>
      <c r="I389" s="103"/>
      <c r="J389" s="103"/>
      <c r="K389" s="103"/>
      <c r="L389" s="103"/>
      <c r="M389" s="104"/>
      <c r="N389" s="103"/>
      <c r="O389" s="103"/>
      <c r="P389" s="103"/>
      <c r="Q389" s="103"/>
      <c r="R389" s="103"/>
      <c r="S389" s="103"/>
      <c r="T389" s="103"/>
      <c r="U389" s="103"/>
      <c r="V389" s="103"/>
      <c r="W389" s="103"/>
      <c r="X389" s="103"/>
      <c r="Y389" s="103"/>
      <c r="Z389" s="299"/>
      <c r="AA389" s="299"/>
      <c r="AB389" s="299"/>
      <c r="AC389" s="299"/>
      <c r="AD389" s="299"/>
      <c r="AE389" s="299"/>
      <c r="AF389" s="299"/>
      <c r="AG389" s="299"/>
      <c r="AH389" s="299"/>
      <c r="AI389" s="299"/>
      <c r="AJ389" s="299"/>
      <c r="AK389" s="299"/>
      <c r="AL389" s="299"/>
      <c r="AM389" s="299"/>
      <c r="AN389" s="299"/>
      <c r="AO389" s="299"/>
      <c r="AP389" s="299"/>
      <c r="AQ389" s="299"/>
      <c r="AR389" s="299"/>
    </row>
    <row r="390" spans="3:44" x14ac:dyDescent="0.2">
      <c r="C390" s="103"/>
      <c r="D390" s="103"/>
      <c r="E390" s="103"/>
      <c r="F390" s="103"/>
      <c r="G390" s="103"/>
      <c r="H390" s="104"/>
      <c r="I390" s="103"/>
      <c r="J390" s="103"/>
      <c r="K390" s="103"/>
      <c r="L390" s="103"/>
      <c r="M390" s="104"/>
      <c r="N390" s="103"/>
      <c r="O390" s="103"/>
      <c r="P390" s="103"/>
      <c r="Q390" s="103"/>
      <c r="R390" s="103"/>
      <c r="S390" s="103"/>
      <c r="T390" s="103"/>
      <c r="U390" s="103"/>
      <c r="V390" s="103"/>
      <c r="W390" s="103"/>
      <c r="X390" s="103"/>
      <c r="Y390" s="103"/>
      <c r="Z390" s="299"/>
      <c r="AA390" s="299"/>
      <c r="AB390" s="299"/>
      <c r="AC390" s="299"/>
      <c r="AD390" s="299"/>
      <c r="AE390" s="299"/>
      <c r="AF390" s="299"/>
      <c r="AG390" s="299"/>
      <c r="AH390" s="299"/>
      <c r="AI390" s="299"/>
      <c r="AJ390" s="299"/>
      <c r="AK390" s="299"/>
      <c r="AL390" s="299"/>
      <c r="AM390" s="299"/>
      <c r="AN390" s="299"/>
      <c r="AO390" s="299"/>
      <c r="AP390" s="299"/>
      <c r="AQ390" s="299"/>
      <c r="AR390" s="299"/>
    </row>
    <row r="391" spans="3:44" x14ac:dyDescent="0.2">
      <c r="C391" s="103"/>
      <c r="D391" s="103"/>
      <c r="E391" s="103"/>
      <c r="F391" s="103"/>
      <c r="G391" s="103"/>
      <c r="H391" s="104"/>
      <c r="I391" s="103"/>
      <c r="J391" s="103"/>
      <c r="K391" s="103"/>
      <c r="L391" s="103"/>
      <c r="M391" s="104"/>
      <c r="N391" s="103"/>
      <c r="O391" s="103"/>
      <c r="P391" s="103"/>
      <c r="Q391" s="103"/>
      <c r="R391" s="103"/>
      <c r="S391" s="103"/>
      <c r="T391" s="103"/>
      <c r="U391" s="103"/>
      <c r="V391" s="103"/>
      <c r="W391" s="103"/>
      <c r="X391" s="103"/>
      <c r="Y391" s="103"/>
      <c r="Z391" s="299"/>
      <c r="AA391" s="299"/>
      <c r="AB391" s="299"/>
      <c r="AC391" s="299"/>
      <c r="AD391" s="299"/>
      <c r="AE391" s="299"/>
      <c r="AF391" s="299"/>
      <c r="AG391" s="299"/>
      <c r="AH391" s="299"/>
      <c r="AI391" s="299"/>
      <c r="AJ391" s="299"/>
      <c r="AK391" s="299"/>
      <c r="AL391" s="299"/>
      <c r="AM391" s="299"/>
      <c r="AN391" s="299"/>
      <c r="AO391" s="299"/>
      <c r="AP391" s="299"/>
      <c r="AQ391" s="299"/>
      <c r="AR391" s="299"/>
    </row>
    <row r="392" spans="3:44" x14ac:dyDescent="0.2">
      <c r="C392" s="103"/>
      <c r="D392" s="103"/>
      <c r="E392" s="103"/>
      <c r="F392" s="103"/>
      <c r="G392" s="103"/>
      <c r="H392" s="104"/>
      <c r="I392" s="103"/>
      <c r="J392" s="103"/>
      <c r="K392" s="103"/>
      <c r="L392" s="103"/>
      <c r="M392" s="104"/>
      <c r="N392" s="103"/>
      <c r="O392" s="103"/>
      <c r="P392" s="103"/>
      <c r="Q392" s="103"/>
      <c r="R392" s="103"/>
      <c r="S392" s="103"/>
      <c r="T392" s="103"/>
      <c r="U392" s="103"/>
      <c r="V392" s="103"/>
      <c r="W392" s="103"/>
      <c r="X392" s="103"/>
      <c r="Y392" s="103"/>
      <c r="Z392" s="299"/>
      <c r="AA392" s="299"/>
      <c r="AB392" s="299"/>
      <c r="AC392" s="299"/>
      <c r="AD392" s="299"/>
      <c r="AE392" s="299"/>
      <c r="AF392" s="299"/>
      <c r="AG392" s="299"/>
      <c r="AH392" s="299"/>
      <c r="AI392" s="299"/>
      <c r="AJ392" s="299"/>
      <c r="AK392" s="299"/>
      <c r="AL392" s="299"/>
      <c r="AM392" s="299"/>
      <c r="AN392" s="299"/>
      <c r="AO392" s="299"/>
      <c r="AP392" s="299"/>
      <c r="AQ392" s="299"/>
      <c r="AR392" s="299"/>
    </row>
    <row r="393" spans="3:44" x14ac:dyDescent="0.2">
      <c r="C393" s="103"/>
      <c r="D393" s="103"/>
      <c r="E393" s="103"/>
      <c r="F393" s="103"/>
      <c r="G393" s="103"/>
      <c r="H393" s="104"/>
      <c r="I393" s="103"/>
      <c r="J393" s="103"/>
      <c r="K393" s="103"/>
      <c r="L393" s="103"/>
      <c r="M393" s="104"/>
      <c r="N393" s="103"/>
      <c r="O393" s="103"/>
      <c r="P393" s="103"/>
      <c r="Q393" s="103"/>
      <c r="R393" s="103"/>
      <c r="S393" s="103"/>
      <c r="T393" s="103"/>
      <c r="U393" s="103"/>
      <c r="V393" s="103"/>
      <c r="W393" s="103"/>
      <c r="X393" s="103"/>
      <c r="Y393" s="103"/>
      <c r="Z393" s="299"/>
      <c r="AA393" s="299"/>
      <c r="AB393" s="299"/>
      <c r="AC393" s="299"/>
      <c r="AD393" s="299"/>
      <c r="AE393" s="299"/>
      <c r="AF393" s="299"/>
      <c r="AG393" s="299"/>
      <c r="AH393" s="299"/>
      <c r="AI393" s="299"/>
      <c r="AJ393" s="299"/>
      <c r="AK393" s="299"/>
      <c r="AL393" s="299"/>
      <c r="AM393" s="299"/>
      <c r="AN393" s="299"/>
      <c r="AO393" s="299"/>
      <c r="AP393" s="299"/>
      <c r="AQ393" s="299"/>
      <c r="AR393" s="299"/>
    </row>
    <row r="394" spans="3:44" x14ac:dyDescent="0.2">
      <c r="C394" s="103"/>
      <c r="D394" s="103"/>
      <c r="E394" s="103"/>
      <c r="F394" s="103"/>
      <c r="G394" s="103"/>
      <c r="H394" s="104"/>
      <c r="I394" s="103"/>
      <c r="J394" s="103"/>
      <c r="K394" s="103"/>
      <c r="L394" s="103"/>
      <c r="M394" s="104"/>
      <c r="N394" s="103"/>
      <c r="O394" s="103"/>
      <c r="P394" s="103"/>
      <c r="Q394" s="103"/>
      <c r="R394" s="103"/>
      <c r="S394" s="103"/>
      <c r="T394" s="103"/>
      <c r="U394" s="103"/>
      <c r="V394" s="103"/>
      <c r="W394" s="103"/>
      <c r="X394" s="103"/>
      <c r="Y394" s="103"/>
      <c r="Z394" s="299"/>
      <c r="AA394" s="299"/>
      <c r="AB394" s="299"/>
      <c r="AC394" s="299"/>
      <c r="AD394" s="299"/>
      <c r="AE394" s="299"/>
      <c r="AF394" s="299"/>
      <c r="AG394" s="299"/>
      <c r="AH394" s="299"/>
      <c r="AI394" s="299"/>
      <c r="AJ394" s="299"/>
      <c r="AK394" s="299"/>
      <c r="AL394" s="299"/>
      <c r="AM394" s="299"/>
      <c r="AN394" s="299"/>
      <c r="AO394" s="299"/>
      <c r="AP394" s="299"/>
      <c r="AQ394" s="299"/>
      <c r="AR394" s="299"/>
    </row>
    <row r="395" spans="3:44" x14ac:dyDescent="0.2">
      <c r="C395" s="103"/>
      <c r="D395" s="103"/>
      <c r="E395" s="103"/>
      <c r="F395" s="103"/>
      <c r="G395" s="103"/>
      <c r="H395" s="104"/>
      <c r="I395" s="103"/>
      <c r="J395" s="103"/>
      <c r="K395" s="103"/>
      <c r="L395" s="103"/>
      <c r="M395" s="104"/>
      <c r="N395" s="103"/>
      <c r="O395" s="103"/>
      <c r="P395" s="103"/>
      <c r="Q395" s="103"/>
      <c r="R395" s="103"/>
      <c r="S395" s="103"/>
      <c r="T395" s="103"/>
      <c r="U395" s="103"/>
      <c r="V395" s="103"/>
      <c r="W395" s="103"/>
      <c r="X395" s="103"/>
      <c r="Y395" s="103"/>
      <c r="Z395" s="299"/>
      <c r="AA395" s="299"/>
      <c r="AB395" s="299"/>
      <c r="AC395" s="299"/>
      <c r="AD395" s="299"/>
      <c r="AE395" s="299"/>
      <c r="AF395" s="299"/>
      <c r="AG395" s="299"/>
      <c r="AH395" s="299"/>
      <c r="AI395" s="299"/>
      <c r="AJ395" s="299"/>
      <c r="AK395" s="299"/>
      <c r="AL395" s="299"/>
      <c r="AM395" s="299"/>
      <c r="AN395" s="299"/>
      <c r="AO395" s="299"/>
      <c r="AP395" s="299"/>
      <c r="AQ395" s="299"/>
      <c r="AR395" s="299"/>
    </row>
    <row r="396" spans="3:44" x14ac:dyDescent="0.2">
      <c r="C396" s="103"/>
      <c r="D396" s="103"/>
      <c r="E396" s="103"/>
      <c r="F396" s="103"/>
      <c r="G396" s="103"/>
      <c r="H396" s="104"/>
      <c r="I396" s="103"/>
      <c r="J396" s="103"/>
      <c r="K396" s="103"/>
      <c r="L396" s="103"/>
      <c r="M396" s="104"/>
      <c r="N396" s="103"/>
      <c r="O396" s="103"/>
      <c r="P396" s="103"/>
      <c r="Q396" s="103"/>
      <c r="R396" s="103"/>
      <c r="S396" s="103"/>
      <c r="T396" s="103"/>
      <c r="U396" s="103"/>
      <c r="V396" s="103"/>
      <c r="W396" s="103"/>
      <c r="X396" s="103"/>
      <c r="Y396" s="103"/>
      <c r="Z396" s="299"/>
      <c r="AA396" s="299"/>
      <c r="AB396" s="299"/>
      <c r="AC396" s="299"/>
      <c r="AD396" s="299"/>
      <c r="AE396" s="299"/>
      <c r="AF396" s="299"/>
      <c r="AG396" s="299"/>
      <c r="AH396" s="299"/>
      <c r="AI396" s="299"/>
      <c r="AJ396" s="299"/>
      <c r="AK396" s="299"/>
      <c r="AL396" s="299"/>
      <c r="AM396" s="299"/>
      <c r="AN396" s="299"/>
      <c r="AO396" s="299"/>
      <c r="AP396" s="299"/>
      <c r="AQ396" s="299"/>
      <c r="AR396" s="299"/>
    </row>
    <row r="397" spans="3:44" x14ac:dyDescent="0.2">
      <c r="C397" s="103"/>
      <c r="D397" s="103"/>
      <c r="E397" s="103"/>
      <c r="F397" s="103"/>
      <c r="G397" s="103"/>
      <c r="H397" s="104"/>
      <c r="I397" s="103"/>
      <c r="J397" s="103"/>
      <c r="K397" s="103"/>
      <c r="L397" s="103"/>
      <c r="M397" s="104"/>
      <c r="N397" s="103"/>
      <c r="O397" s="103"/>
      <c r="P397" s="103"/>
      <c r="Q397" s="103"/>
      <c r="R397" s="103"/>
      <c r="S397" s="103"/>
      <c r="T397" s="103"/>
      <c r="U397" s="103"/>
      <c r="V397" s="103"/>
      <c r="W397" s="103"/>
      <c r="X397" s="103"/>
      <c r="Y397" s="103"/>
      <c r="Z397" s="299"/>
      <c r="AA397" s="299"/>
      <c r="AB397" s="299"/>
      <c r="AC397" s="299"/>
      <c r="AD397" s="299"/>
      <c r="AE397" s="299"/>
      <c r="AF397" s="299"/>
      <c r="AG397" s="299"/>
      <c r="AH397" s="299"/>
      <c r="AI397" s="299"/>
      <c r="AJ397" s="299"/>
      <c r="AK397" s="299"/>
      <c r="AL397" s="299"/>
      <c r="AM397" s="299"/>
      <c r="AN397" s="299"/>
      <c r="AO397" s="299"/>
      <c r="AP397" s="299"/>
      <c r="AQ397" s="299"/>
      <c r="AR397" s="299"/>
    </row>
    <row r="398" spans="3:44" x14ac:dyDescent="0.2">
      <c r="C398" s="103"/>
      <c r="D398" s="103"/>
      <c r="E398" s="103"/>
      <c r="F398" s="103"/>
      <c r="G398" s="103"/>
      <c r="H398" s="104"/>
      <c r="I398" s="103"/>
      <c r="J398" s="103"/>
      <c r="K398" s="103"/>
      <c r="L398" s="103"/>
      <c r="M398" s="104"/>
      <c r="N398" s="103"/>
      <c r="O398" s="103"/>
      <c r="P398" s="103"/>
      <c r="Q398" s="103"/>
      <c r="R398" s="103"/>
      <c r="S398" s="103"/>
      <c r="T398" s="103"/>
      <c r="U398" s="103"/>
      <c r="V398" s="103"/>
      <c r="W398" s="103"/>
      <c r="X398" s="103"/>
      <c r="Y398" s="103"/>
      <c r="Z398" s="299"/>
      <c r="AA398" s="299"/>
      <c r="AB398" s="299"/>
      <c r="AC398" s="299"/>
      <c r="AD398" s="299"/>
      <c r="AE398" s="299"/>
      <c r="AF398" s="299"/>
      <c r="AG398" s="299"/>
      <c r="AH398" s="299"/>
      <c r="AI398" s="299"/>
      <c r="AJ398" s="299"/>
      <c r="AK398" s="299"/>
      <c r="AL398" s="299"/>
      <c r="AM398" s="299"/>
      <c r="AN398" s="299"/>
      <c r="AO398" s="299"/>
      <c r="AP398" s="299"/>
      <c r="AQ398" s="299"/>
      <c r="AR398" s="299"/>
    </row>
    <row r="399" spans="3:44" x14ac:dyDescent="0.2">
      <c r="C399" s="103"/>
      <c r="D399" s="103"/>
      <c r="E399" s="103"/>
      <c r="F399" s="103"/>
      <c r="G399" s="103"/>
      <c r="H399" s="104"/>
      <c r="I399" s="103"/>
      <c r="J399" s="103"/>
      <c r="K399" s="103"/>
      <c r="L399" s="103"/>
      <c r="M399" s="104"/>
      <c r="N399" s="103"/>
      <c r="O399" s="103"/>
      <c r="P399" s="103"/>
      <c r="Q399" s="103"/>
      <c r="R399" s="103"/>
      <c r="S399" s="103"/>
      <c r="T399" s="103"/>
      <c r="U399" s="103"/>
      <c r="V399" s="103"/>
      <c r="W399" s="103"/>
      <c r="X399" s="103"/>
      <c r="Y399" s="103"/>
      <c r="Z399" s="299"/>
      <c r="AA399" s="299"/>
      <c r="AB399" s="299"/>
      <c r="AC399" s="299"/>
      <c r="AD399" s="299"/>
      <c r="AE399" s="299"/>
      <c r="AF399" s="299"/>
      <c r="AG399" s="299"/>
      <c r="AH399" s="299"/>
      <c r="AI399" s="299"/>
      <c r="AJ399" s="299"/>
      <c r="AK399" s="299"/>
      <c r="AL399" s="299"/>
      <c r="AM399" s="299"/>
      <c r="AN399" s="299"/>
      <c r="AO399" s="299"/>
      <c r="AP399" s="299"/>
      <c r="AQ399" s="299"/>
      <c r="AR399" s="299"/>
    </row>
    <row r="400" spans="3:44" x14ac:dyDescent="0.2">
      <c r="C400" s="103"/>
      <c r="D400" s="103"/>
      <c r="E400" s="103"/>
      <c r="F400" s="103"/>
      <c r="G400" s="103"/>
      <c r="H400" s="104"/>
      <c r="I400" s="103"/>
      <c r="J400" s="103"/>
      <c r="K400" s="103"/>
      <c r="L400" s="103"/>
      <c r="M400" s="104"/>
      <c r="N400" s="103"/>
      <c r="O400" s="103"/>
      <c r="P400" s="103"/>
      <c r="Q400" s="103"/>
      <c r="R400" s="103"/>
      <c r="S400" s="103"/>
      <c r="T400" s="103"/>
      <c r="U400" s="103"/>
      <c r="V400" s="103"/>
      <c r="W400" s="103"/>
      <c r="X400" s="103"/>
      <c r="Y400" s="103"/>
      <c r="Z400" s="299"/>
      <c r="AA400" s="299"/>
      <c r="AB400" s="299"/>
      <c r="AC400" s="299"/>
      <c r="AD400" s="299"/>
      <c r="AE400" s="299"/>
      <c r="AF400" s="299"/>
      <c r="AG400" s="299"/>
      <c r="AH400" s="299"/>
      <c r="AI400" s="299"/>
      <c r="AJ400" s="299"/>
      <c r="AK400" s="299"/>
      <c r="AL400" s="299"/>
      <c r="AM400" s="299"/>
      <c r="AN400" s="299"/>
      <c r="AO400" s="299"/>
      <c r="AP400" s="299"/>
      <c r="AQ400" s="299"/>
      <c r="AR400" s="299"/>
    </row>
    <row r="401" spans="3:44" x14ac:dyDescent="0.2">
      <c r="C401" s="103"/>
      <c r="D401" s="103"/>
      <c r="E401" s="103"/>
      <c r="F401" s="103"/>
      <c r="G401" s="103"/>
      <c r="H401" s="104"/>
      <c r="I401" s="103"/>
      <c r="J401" s="103"/>
      <c r="K401" s="103"/>
      <c r="L401" s="103"/>
      <c r="M401" s="104"/>
      <c r="N401" s="103"/>
      <c r="O401" s="103"/>
      <c r="P401" s="103"/>
      <c r="Q401" s="103"/>
      <c r="R401" s="103"/>
      <c r="S401" s="103"/>
      <c r="T401" s="103"/>
      <c r="U401" s="103"/>
      <c r="V401" s="103"/>
      <c r="W401" s="103"/>
      <c r="X401" s="103"/>
      <c r="Y401" s="103"/>
      <c r="Z401" s="299"/>
      <c r="AA401" s="299"/>
      <c r="AB401" s="299"/>
      <c r="AC401" s="299"/>
      <c r="AD401" s="299"/>
      <c r="AE401" s="299"/>
      <c r="AF401" s="299"/>
      <c r="AG401" s="299"/>
      <c r="AH401" s="299"/>
      <c r="AI401" s="299"/>
      <c r="AJ401" s="299"/>
      <c r="AK401" s="299"/>
      <c r="AL401" s="299"/>
      <c r="AM401" s="299"/>
      <c r="AN401" s="299"/>
      <c r="AO401" s="299"/>
      <c r="AP401" s="299"/>
      <c r="AQ401" s="299"/>
      <c r="AR401" s="299"/>
    </row>
    <row r="402" spans="3:44" x14ac:dyDescent="0.2">
      <c r="C402" s="103"/>
      <c r="D402" s="103"/>
      <c r="E402" s="103"/>
      <c r="F402" s="103"/>
      <c r="G402" s="103"/>
      <c r="H402" s="104"/>
      <c r="I402" s="103"/>
      <c r="J402" s="103"/>
      <c r="K402" s="103"/>
      <c r="L402" s="103"/>
      <c r="M402" s="104"/>
      <c r="N402" s="103"/>
      <c r="O402" s="103"/>
      <c r="P402" s="103"/>
      <c r="Q402" s="103"/>
      <c r="R402" s="103"/>
      <c r="S402" s="103"/>
      <c r="T402" s="103"/>
      <c r="U402" s="103"/>
      <c r="V402" s="103"/>
      <c r="W402" s="103"/>
      <c r="X402" s="103"/>
      <c r="Y402" s="103"/>
      <c r="Z402" s="299"/>
      <c r="AA402" s="299"/>
      <c r="AB402" s="299"/>
      <c r="AC402" s="299"/>
      <c r="AD402" s="299"/>
      <c r="AE402" s="299"/>
      <c r="AF402" s="299"/>
      <c r="AG402" s="299"/>
      <c r="AH402" s="299"/>
      <c r="AI402" s="299"/>
      <c r="AJ402" s="299"/>
      <c r="AK402" s="299"/>
      <c r="AL402" s="299"/>
      <c r="AM402" s="299"/>
      <c r="AN402" s="299"/>
      <c r="AO402" s="299"/>
      <c r="AP402" s="299"/>
      <c r="AQ402" s="299"/>
      <c r="AR402" s="299"/>
    </row>
    <row r="403" spans="3:44" x14ac:dyDescent="0.2">
      <c r="C403" s="103"/>
      <c r="D403" s="103"/>
      <c r="E403" s="103"/>
      <c r="F403" s="103"/>
      <c r="G403" s="103"/>
      <c r="H403" s="104"/>
      <c r="I403" s="103"/>
      <c r="J403" s="103"/>
      <c r="K403" s="103"/>
      <c r="L403" s="103"/>
      <c r="M403" s="104"/>
      <c r="N403" s="103"/>
      <c r="O403" s="103"/>
      <c r="P403" s="103"/>
      <c r="Q403" s="103"/>
      <c r="R403" s="103"/>
      <c r="S403" s="103"/>
      <c r="T403" s="103"/>
      <c r="U403" s="103"/>
      <c r="V403" s="103"/>
      <c r="W403" s="103"/>
      <c r="X403" s="103"/>
      <c r="Y403" s="103"/>
      <c r="Z403" s="299"/>
      <c r="AA403" s="299"/>
      <c r="AB403" s="299"/>
      <c r="AC403" s="299"/>
      <c r="AD403" s="299"/>
      <c r="AE403" s="299"/>
      <c r="AF403" s="299"/>
      <c r="AG403" s="299"/>
      <c r="AH403" s="299"/>
      <c r="AI403" s="299"/>
      <c r="AJ403" s="299"/>
      <c r="AK403" s="299"/>
      <c r="AL403" s="299"/>
      <c r="AM403" s="299"/>
      <c r="AN403" s="299"/>
      <c r="AO403" s="299"/>
      <c r="AP403" s="299"/>
      <c r="AQ403" s="299"/>
      <c r="AR403" s="299"/>
    </row>
    <row r="404" spans="3:44" x14ac:dyDescent="0.2">
      <c r="C404" s="103"/>
      <c r="D404" s="103"/>
      <c r="E404" s="103"/>
      <c r="F404" s="103"/>
      <c r="G404" s="103"/>
      <c r="H404" s="104"/>
      <c r="I404" s="103"/>
      <c r="J404" s="103"/>
      <c r="K404" s="103"/>
      <c r="L404" s="103"/>
      <c r="M404" s="104"/>
      <c r="N404" s="103"/>
      <c r="O404" s="103"/>
      <c r="P404" s="103"/>
      <c r="Q404" s="103"/>
      <c r="R404" s="103"/>
      <c r="S404" s="103"/>
      <c r="T404" s="103"/>
      <c r="U404" s="103"/>
      <c r="V404" s="103"/>
      <c r="W404" s="103"/>
      <c r="X404" s="103"/>
      <c r="Y404" s="103"/>
      <c r="Z404" s="299"/>
      <c r="AA404" s="299"/>
      <c r="AB404" s="299"/>
      <c r="AC404" s="299"/>
      <c r="AD404" s="299"/>
      <c r="AE404" s="299"/>
      <c r="AF404" s="299"/>
      <c r="AG404" s="299"/>
      <c r="AH404" s="299"/>
      <c r="AI404" s="299"/>
      <c r="AJ404" s="299"/>
      <c r="AK404" s="299"/>
      <c r="AL404" s="299"/>
      <c r="AM404" s="299"/>
      <c r="AN404" s="299"/>
      <c r="AO404" s="299"/>
      <c r="AP404" s="299"/>
      <c r="AQ404" s="299"/>
      <c r="AR404" s="299"/>
    </row>
    <row r="405" spans="3:44" x14ac:dyDescent="0.2">
      <c r="C405" s="103"/>
      <c r="D405" s="103"/>
      <c r="E405" s="103"/>
      <c r="F405" s="103"/>
      <c r="G405" s="103"/>
      <c r="H405" s="104"/>
      <c r="I405" s="103"/>
      <c r="J405" s="103"/>
      <c r="K405" s="103"/>
      <c r="L405" s="103"/>
      <c r="M405" s="104"/>
      <c r="N405" s="103"/>
      <c r="O405" s="103"/>
      <c r="P405" s="103"/>
      <c r="Q405" s="103"/>
      <c r="R405" s="103"/>
      <c r="S405" s="103"/>
      <c r="T405" s="103"/>
      <c r="U405" s="103"/>
      <c r="V405" s="103"/>
      <c r="W405" s="103"/>
      <c r="X405" s="103"/>
      <c r="Y405" s="103"/>
      <c r="Z405" s="299"/>
      <c r="AA405" s="299"/>
      <c r="AB405" s="299"/>
      <c r="AC405" s="299"/>
      <c r="AD405" s="299"/>
      <c r="AE405" s="299"/>
      <c r="AF405" s="299"/>
      <c r="AG405" s="299"/>
      <c r="AH405" s="299"/>
      <c r="AI405" s="299"/>
      <c r="AJ405" s="299"/>
      <c r="AK405" s="299"/>
      <c r="AL405" s="299"/>
      <c r="AM405" s="299"/>
      <c r="AN405" s="299"/>
      <c r="AO405" s="299"/>
      <c r="AP405" s="299"/>
      <c r="AQ405" s="299"/>
      <c r="AR405" s="299"/>
    </row>
    <row r="406" spans="3:44" x14ac:dyDescent="0.2">
      <c r="C406" s="103"/>
      <c r="D406" s="103"/>
      <c r="E406" s="103"/>
      <c r="F406" s="103"/>
      <c r="G406" s="103"/>
      <c r="H406" s="104"/>
      <c r="I406" s="103"/>
      <c r="J406" s="103"/>
      <c r="K406" s="103"/>
      <c r="L406" s="103"/>
      <c r="M406" s="104"/>
      <c r="N406" s="103"/>
      <c r="O406" s="103"/>
      <c r="P406" s="103"/>
      <c r="Q406" s="103"/>
      <c r="R406" s="103"/>
      <c r="S406" s="103"/>
      <c r="T406" s="103"/>
      <c r="U406" s="103"/>
      <c r="V406" s="103"/>
      <c r="W406" s="103"/>
      <c r="X406" s="103"/>
      <c r="Y406" s="103"/>
      <c r="Z406" s="299"/>
      <c r="AA406" s="299"/>
      <c r="AB406" s="299"/>
      <c r="AC406" s="299"/>
      <c r="AD406" s="299"/>
      <c r="AE406" s="299"/>
      <c r="AF406" s="299"/>
      <c r="AG406" s="299"/>
      <c r="AH406" s="299"/>
      <c r="AI406" s="299"/>
      <c r="AJ406" s="299"/>
      <c r="AK406" s="299"/>
      <c r="AL406" s="299"/>
      <c r="AM406" s="299"/>
      <c r="AN406" s="299"/>
      <c r="AO406" s="299"/>
      <c r="AP406" s="299"/>
      <c r="AQ406" s="299"/>
      <c r="AR406" s="299"/>
    </row>
    <row r="407" spans="3:44" x14ac:dyDescent="0.2">
      <c r="C407" s="103"/>
      <c r="D407" s="103"/>
      <c r="E407" s="103"/>
      <c r="F407" s="103"/>
      <c r="G407" s="103"/>
      <c r="H407" s="104"/>
      <c r="I407" s="103"/>
      <c r="J407" s="103"/>
      <c r="K407" s="103"/>
      <c r="L407" s="103"/>
      <c r="M407" s="104"/>
      <c r="N407" s="103"/>
      <c r="O407" s="103"/>
      <c r="P407" s="103"/>
      <c r="Q407" s="103"/>
      <c r="R407" s="103"/>
      <c r="S407" s="103"/>
      <c r="T407" s="103"/>
      <c r="U407" s="103"/>
      <c r="V407" s="103"/>
      <c r="W407" s="103"/>
      <c r="X407" s="103"/>
      <c r="Y407" s="103"/>
      <c r="Z407" s="299"/>
      <c r="AA407" s="299"/>
      <c r="AB407" s="299"/>
      <c r="AC407" s="299"/>
      <c r="AD407" s="299"/>
      <c r="AE407" s="299"/>
      <c r="AF407" s="299"/>
      <c r="AG407" s="299"/>
      <c r="AH407" s="299"/>
      <c r="AI407" s="299"/>
      <c r="AJ407" s="299"/>
      <c r="AK407" s="299"/>
      <c r="AL407" s="299"/>
      <c r="AM407" s="299"/>
      <c r="AN407" s="299"/>
      <c r="AO407" s="299"/>
      <c r="AP407" s="299"/>
      <c r="AQ407" s="299"/>
      <c r="AR407" s="299"/>
    </row>
    <row r="408" spans="3:44" x14ac:dyDescent="0.2">
      <c r="C408" s="103"/>
      <c r="D408" s="103"/>
      <c r="E408" s="103"/>
      <c r="F408" s="103"/>
      <c r="G408" s="103"/>
      <c r="H408" s="104"/>
      <c r="I408" s="103"/>
      <c r="J408" s="103"/>
      <c r="K408" s="103"/>
      <c r="L408" s="103"/>
      <c r="M408" s="104"/>
      <c r="N408" s="103"/>
      <c r="O408" s="103"/>
      <c r="P408" s="103"/>
      <c r="Q408" s="103"/>
      <c r="R408" s="103"/>
      <c r="S408" s="103"/>
      <c r="T408" s="103"/>
      <c r="U408" s="103"/>
      <c r="V408" s="103"/>
      <c r="W408" s="103"/>
      <c r="X408" s="103"/>
      <c r="Y408" s="103"/>
      <c r="Z408" s="299"/>
      <c r="AA408" s="299"/>
      <c r="AB408" s="299"/>
      <c r="AC408" s="299"/>
      <c r="AD408" s="299"/>
      <c r="AE408" s="299"/>
      <c r="AF408" s="299"/>
      <c r="AG408" s="299"/>
      <c r="AH408" s="299"/>
      <c r="AI408" s="299"/>
      <c r="AJ408" s="299"/>
      <c r="AK408" s="299"/>
      <c r="AL408" s="299"/>
      <c r="AM408" s="299"/>
      <c r="AN408" s="299"/>
      <c r="AO408" s="299"/>
      <c r="AP408" s="299"/>
      <c r="AQ408" s="299"/>
      <c r="AR408" s="299"/>
    </row>
    <row r="409" spans="3:44" x14ac:dyDescent="0.2">
      <c r="C409" s="103"/>
      <c r="D409" s="103"/>
      <c r="E409" s="103"/>
      <c r="F409" s="103"/>
      <c r="G409" s="103"/>
      <c r="H409" s="104"/>
      <c r="I409" s="103"/>
      <c r="J409" s="103"/>
      <c r="K409" s="103"/>
      <c r="L409" s="103"/>
      <c r="M409" s="104"/>
      <c r="N409" s="103"/>
      <c r="O409" s="103"/>
      <c r="P409" s="103"/>
      <c r="Q409" s="103"/>
      <c r="R409" s="103"/>
      <c r="S409" s="103"/>
      <c r="T409" s="103"/>
      <c r="U409" s="103"/>
      <c r="V409" s="103"/>
      <c r="W409" s="103"/>
      <c r="X409" s="103"/>
      <c r="Y409" s="103"/>
      <c r="Z409" s="299"/>
      <c r="AA409" s="299"/>
      <c r="AB409" s="299"/>
      <c r="AC409" s="299"/>
      <c r="AD409" s="299"/>
      <c r="AE409" s="299"/>
      <c r="AF409" s="299"/>
      <c r="AG409" s="299"/>
      <c r="AH409" s="299"/>
      <c r="AI409" s="299"/>
      <c r="AJ409" s="299"/>
      <c r="AK409" s="299"/>
      <c r="AL409" s="299"/>
      <c r="AM409" s="299"/>
      <c r="AN409" s="299"/>
      <c r="AO409" s="299"/>
      <c r="AP409" s="299"/>
      <c r="AQ409" s="299"/>
      <c r="AR409" s="299"/>
    </row>
    <row r="410" spans="3:44" x14ac:dyDescent="0.2">
      <c r="C410" s="103"/>
      <c r="D410" s="103"/>
      <c r="E410" s="103"/>
      <c r="F410" s="103"/>
      <c r="G410" s="103"/>
      <c r="H410" s="104"/>
      <c r="I410" s="103"/>
      <c r="J410" s="103"/>
      <c r="K410" s="103"/>
      <c r="L410" s="103"/>
      <c r="M410" s="104"/>
      <c r="N410" s="103"/>
      <c r="O410" s="103"/>
      <c r="P410" s="103"/>
      <c r="Q410" s="103"/>
      <c r="R410" s="103"/>
      <c r="S410" s="103"/>
      <c r="T410" s="103"/>
      <c r="U410" s="103"/>
      <c r="V410" s="103"/>
      <c r="W410" s="103"/>
      <c r="X410" s="103"/>
      <c r="Y410" s="103"/>
      <c r="Z410" s="299"/>
      <c r="AA410" s="299"/>
      <c r="AB410" s="299"/>
      <c r="AC410" s="299"/>
      <c r="AD410" s="299"/>
      <c r="AE410" s="299"/>
      <c r="AF410" s="299"/>
      <c r="AG410" s="299"/>
      <c r="AH410" s="299"/>
      <c r="AI410" s="299"/>
      <c r="AJ410" s="299"/>
      <c r="AK410" s="299"/>
      <c r="AL410" s="299"/>
      <c r="AM410" s="299"/>
      <c r="AN410" s="299"/>
      <c r="AO410" s="299"/>
      <c r="AP410" s="299"/>
      <c r="AQ410" s="299"/>
      <c r="AR410" s="299"/>
    </row>
    <row r="411" spans="3:44" x14ac:dyDescent="0.2">
      <c r="C411" s="103"/>
      <c r="D411" s="103"/>
      <c r="E411" s="103"/>
      <c r="F411" s="103"/>
      <c r="G411" s="103"/>
      <c r="H411" s="104"/>
      <c r="I411" s="103"/>
      <c r="J411" s="103"/>
      <c r="K411" s="103"/>
      <c r="L411" s="103"/>
      <c r="M411" s="104"/>
      <c r="N411" s="103"/>
      <c r="O411" s="103"/>
      <c r="P411" s="103"/>
      <c r="Q411" s="103"/>
      <c r="R411" s="103"/>
      <c r="S411" s="103"/>
      <c r="T411" s="103"/>
      <c r="U411" s="103"/>
      <c r="V411" s="103"/>
      <c r="W411" s="103"/>
      <c r="X411" s="103"/>
      <c r="Y411" s="103"/>
      <c r="Z411" s="299"/>
      <c r="AA411" s="299"/>
      <c r="AB411" s="299"/>
      <c r="AC411" s="299"/>
      <c r="AD411" s="299"/>
      <c r="AE411" s="299"/>
      <c r="AF411" s="299"/>
    </row>
    <row r="412" spans="3:44" x14ac:dyDescent="0.2">
      <c r="C412" s="103"/>
      <c r="D412" s="103"/>
      <c r="E412" s="103"/>
      <c r="F412" s="103"/>
      <c r="G412" s="103"/>
      <c r="H412" s="104"/>
      <c r="I412" s="103"/>
      <c r="J412" s="103"/>
      <c r="K412" s="103"/>
      <c r="L412" s="103"/>
      <c r="M412" s="104"/>
      <c r="N412" s="103"/>
      <c r="O412" s="103"/>
      <c r="P412" s="103"/>
      <c r="Q412" s="103"/>
      <c r="R412" s="103"/>
      <c r="S412" s="103"/>
      <c r="T412" s="103"/>
      <c r="U412" s="103"/>
      <c r="V412" s="103"/>
      <c r="W412" s="103"/>
      <c r="X412" s="103"/>
      <c r="Y412" s="103"/>
      <c r="Z412" s="299"/>
      <c r="AA412" s="299"/>
      <c r="AB412" s="299"/>
      <c r="AC412" s="299"/>
      <c r="AD412" s="299"/>
      <c r="AE412" s="299"/>
      <c r="AF412" s="299"/>
    </row>
    <row r="413" spans="3:44" x14ac:dyDescent="0.2">
      <c r="C413" s="103"/>
      <c r="D413" s="103"/>
      <c r="E413" s="103"/>
      <c r="F413" s="103"/>
      <c r="G413" s="103"/>
      <c r="H413" s="104"/>
      <c r="I413" s="103"/>
      <c r="J413" s="103"/>
      <c r="K413" s="103"/>
      <c r="L413" s="103"/>
      <c r="M413" s="104"/>
      <c r="N413" s="103"/>
      <c r="O413" s="103"/>
      <c r="P413" s="103"/>
      <c r="Q413" s="103"/>
      <c r="R413" s="103"/>
      <c r="S413" s="103"/>
      <c r="T413" s="103"/>
      <c r="U413" s="103"/>
      <c r="V413" s="103"/>
      <c r="W413" s="103"/>
      <c r="X413" s="103"/>
      <c r="Y413" s="103"/>
      <c r="Z413" s="299"/>
      <c r="AA413" s="299"/>
      <c r="AB413" s="299"/>
      <c r="AC413" s="299"/>
      <c r="AD413" s="299"/>
      <c r="AE413" s="299"/>
      <c r="AF413" s="299"/>
    </row>
    <row r="414" spans="3:44" x14ac:dyDescent="0.2">
      <c r="C414" s="103"/>
      <c r="D414" s="103"/>
      <c r="E414" s="103"/>
      <c r="F414" s="103"/>
      <c r="G414" s="103"/>
      <c r="H414" s="104"/>
      <c r="I414" s="103"/>
      <c r="J414" s="103"/>
      <c r="K414" s="103"/>
      <c r="L414" s="103"/>
      <c r="M414" s="104"/>
      <c r="N414" s="103"/>
      <c r="O414" s="103"/>
      <c r="P414" s="103"/>
      <c r="Q414" s="103"/>
      <c r="R414" s="103"/>
      <c r="S414" s="103"/>
      <c r="T414" s="103"/>
      <c r="U414" s="103"/>
      <c r="V414" s="103"/>
      <c r="W414" s="103"/>
      <c r="X414" s="103"/>
      <c r="Y414" s="103"/>
      <c r="Z414" s="299"/>
      <c r="AA414" s="299"/>
      <c r="AB414" s="299"/>
      <c r="AC414" s="299"/>
      <c r="AD414" s="299"/>
      <c r="AE414" s="299"/>
      <c r="AF414" s="299"/>
    </row>
    <row r="415" spans="3:44" x14ac:dyDescent="0.2">
      <c r="C415" s="103"/>
      <c r="D415" s="103"/>
      <c r="E415" s="103"/>
      <c r="F415" s="103"/>
      <c r="G415" s="103"/>
      <c r="H415" s="104"/>
      <c r="I415" s="103"/>
      <c r="J415" s="103"/>
      <c r="K415" s="103"/>
      <c r="L415" s="103"/>
      <c r="M415" s="104"/>
      <c r="N415" s="103"/>
      <c r="O415" s="103"/>
      <c r="P415" s="103"/>
      <c r="Q415" s="103"/>
      <c r="R415" s="103"/>
      <c r="S415" s="103"/>
      <c r="T415" s="103"/>
      <c r="U415" s="103"/>
      <c r="V415" s="103"/>
      <c r="W415" s="103"/>
      <c r="X415" s="103"/>
      <c r="Y415" s="103"/>
      <c r="Z415" s="299"/>
      <c r="AA415" s="299"/>
      <c r="AB415" s="299"/>
      <c r="AC415" s="299"/>
      <c r="AD415" s="299"/>
      <c r="AE415" s="299"/>
      <c r="AF415" s="299"/>
    </row>
    <row r="416" spans="3:44" x14ac:dyDescent="0.2">
      <c r="C416" s="103"/>
      <c r="D416" s="103"/>
      <c r="E416" s="103"/>
      <c r="F416" s="103"/>
      <c r="G416" s="103"/>
      <c r="H416" s="104"/>
      <c r="I416" s="103"/>
      <c r="J416" s="103"/>
      <c r="K416" s="103"/>
      <c r="L416" s="103"/>
      <c r="M416" s="104"/>
      <c r="N416" s="103"/>
      <c r="O416" s="103"/>
      <c r="P416" s="103"/>
      <c r="Q416" s="103"/>
      <c r="R416" s="103"/>
      <c r="S416" s="103"/>
      <c r="T416" s="103"/>
      <c r="U416" s="103"/>
      <c r="V416" s="103"/>
      <c r="W416" s="103"/>
      <c r="X416" s="103"/>
      <c r="Y416" s="103"/>
      <c r="Z416" s="299"/>
      <c r="AA416" s="299"/>
      <c r="AB416" s="299"/>
      <c r="AC416" s="299"/>
      <c r="AD416" s="299"/>
      <c r="AE416" s="299"/>
      <c r="AF416" s="299"/>
    </row>
    <row r="417" spans="3:32" x14ac:dyDescent="0.2">
      <c r="C417" s="103"/>
      <c r="D417" s="103"/>
      <c r="E417" s="103"/>
      <c r="F417" s="103"/>
      <c r="G417" s="103"/>
      <c r="H417" s="104"/>
      <c r="I417" s="103"/>
      <c r="J417" s="103"/>
      <c r="K417" s="103"/>
      <c r="L417" s="103"/>
      <c r="M417" s="104"/>
      <c r="N417" s="103"/>
      <c r="O417" s="103"/>
      <c r="P417" s="103"/>
      <c r="Q417" s="103"/>
      <c r="R417" s="103"/>
      <c r="S417" s="103"/>
      <c r="T417" s="103"/>
      <c r="U417" s="103"/>
      <c r="V417" s="103"/>
      <c r="W417" s="103"/>
      <c r="X417" s="103"/>
      <c r="Y417" s="103"/>
      <c r="Z417" s="299"/>
      <c r="AA417" s="299"/>
      <c r="AB417" s="299"/>
      <c r="AC417" s="299"/>
      <c r="AD417" s="299"/>
      <c r="AE417" s="299"/>
      <c r="AF417" s="299"/>
    </row>
    <row r="418" spans="3:32" x14ac:dyDescent="0.2">
      <c r="C418" s="103"/>
      <c r="D418" s="103"/>
      <c r="E418" s="103"/>
      <c r="F418" s="103"/>
      <c r="G418" s="103"/>
      <c r="H418" s="104"/>
      <c r="I418" s="103"/>
      <c r="J418" s="103"/>
      <c r="K418" s="103"/>
      <c r="L418" s="103"/>
      <c r="M418" s="104"/>
      <c r="N418" s="103"/>
      <c r="O418" s="103"/>
      <c r="P418" s="103"/>
      <c r="Q418" s="103"/>
      <c r="R418" s="103"/>
      <c r="S418" s="103"/>
      <c r="T418" s="103"/>
      <c r="U418" s="103"/>
      <c r="V418" s="103"/>
      <c r="W418" s="103"/>
      <c r="X418" s="103"/>
      <c r="Y418" s="103"/>
      <c r="Z418" s="299"/>
      <c r="AA418" s="299"/>
      <c r="AB418" s="299"/>
      <c r="AC418" s="299"/>
      <c r="AD418" s="299"/>
      <c r="AE418" s="299"/>
      <c r="AF418" s="299"/>
    </row>
    <row r="419" spans="3:32" x14ac:dyDescent="0.2">
      <c r="C419" s="103"/>
      <c r="D419" s="103"/>
      <c r="E419" s="103"/>
      <c r="F419" s="103"/>
      <c r="G419" s="103"/>
      <c r="H419" s="104"/>
      <c r="I419" s="103"/>
      <c r="J419" s="103"/>
      <c r="K419" s="103"/>
      <c r="L419" s="103"/>
      <c r="M419" s="104"/>
      <c r="N419" s="103"/>
      <c r="O419" s="103"/>
      <c r="P419" s="103"/>
      <c r="Q419" s="103"/>
      <c r="R419" s="103"/>
      <c r="S419" s="103"/>
      <c r="T419" s="103"/>
      <c r="U419" s="103"/>
      <c r="V419" s="103"/>
      <c r="W419" s="103"/>
      <c r="X419" s="103"/>
      <c r="Y419" s="103"/>
      <c r="Z419" s="299"/>
      <c r="AA419" s="299"/>
      <c r="AB419" s="299"/>
      <c r="AC419" s="299"/>
      <c r="AD419" s="299"/>
      <c r="AE419" s="299"/>
      <c r="AF419" s="299"/>
    </row>
    <row r="420" spans="3:32" x14ac:dyDescent="0.2">
      <c r="C420" s="103"/>
      <c r="D420" s="103"/>
      <c r="E420" s="103"/>
      <c r="F420" s="103"/>
      <c r="G420" s="103"/>
      <c r="H420" s="104"/>
      <c r="I420" s="103"/>
      <c r="J420" s="103"/>
      <c r="K420" s="103"/>
      <c r="L420" s="103"/>
      <c r="M420" s="104"/>
      <c r="N420" s="103"/>
      <c r="O420" s="103"/>
      <c r="P420" s="103"/>
      <c r="Q420" s="103"/>
      <c r="R420" s="103"/>
      <c r="S420" s="103"/>
      <c r="T420" s="103"/>
      <c r="U420" s="103"/>
      <c r="V420" s="103"/>
      <c r="W420" s="103"/>
      <c r="X420" s="103"/>
      <c r="Y420" s="103"/>
      <c r="Z420" s="299"/>
      <c r="AA420" s="299"/>
      <c r="AB420" s="299"/>
      <c r="AC420" s="299"/>
      <c r="AD420" s="299"/>
      <c r="AE420" s="299"/>
      <c r="AF420" s="299"/>
    </row>
    <row r="421" spans="3:32" x14ac:dyDescent="0.2">
      <c r="C421" s="103"/>
      <c r="D421" s="103"/>
      <c r="E421" s="103"/>
      <c r="F421" s="103"/>
      <c r="G421" s="103"/>
      <c r="H421" s="104"/>
      <c r="I421" s="103"/>
      <c r="J421" s="103"/>
      <c r="K421" s="103"/>
      <c r="L421" s="103"/>
      <c r="M421" s="104"/>
      <c r="N421" s="103"/>
      <c r="O421" s="103"/>
      <c r="P421" s="103"/>
      <c r="Q421" s="103"/>
      <c r="R421" s="103"/>
      <c r="S421" s="103"/>
      <c r="T421" s="103"/>
      <c r="U421" s="103"/>
      <c r="V421" s="103"/>
      <c r="W421" s="103"/>
      <c r="X421" s="103"/>
      <c r="Y421" s="103"/>
      <c r="Z421" s="299"/>
      <c r="AA421" s="299"/>
      <c r="AB421" s="299"/>
      <c r="AC421" s="299"/>
      <c r="AD421" s="299"/>
      <c r="AE421" s="299"/>
      <c r="AF421" s="299"/>
    </row>
    <row r="422" spans="3:32" x14ac:dyDescent="0.2">
      <c r="C422" s="103"/>
      <c r="D422" s="103"/>
      <c r="E422" s="103"/>
      <c r="F422" s="103"/>
      <c r="G422" s="103"/>
      <c r="H422" s="104"/>
      <c r="I422" s="103"/>
      <c r="J422" s="103"/>
      <c r="K422" s="103"/>
      <c r="L422" s="103"/>
      <c r="M422" s="104"/>
      <c r="N422" s="103"/>
      <c r="O422" s="103"/>
      <c r="P422" s="103"/>
      <c r="Q422" s="103"/>
      <c r="R422" s="103"/>
      <c r="S422" s="103"/>
      <c r="T422" s="103"/>
      <c r="U422" s="103"/>
      <c r="V422" s="103"/>
      <c r="W422" s="103"/>
      <c r="X422" s="103"/>
      <c r="Y422" s="103"/>
      <c r="Z422" s="299"/>
      <c r="AA422" s="299"/>
      <c r="AB422" s="299"/>
      <c r="AC422" s="299"/>
      <c r="AD422" s="299"/>
      <c r="AE422" s="299"/>
      <c r="AF422" s="299"/>
    </row>
    <row r="423" spans="3:32" x14ac:dyDescent="0.2">
      <c r="C423" s="103"/>
      <c r="D423" s="103"/>
      <c r="E423" s="103"/>
      <c r="F423" s="103"/>
      <c r="G423" s="103"/>
      <c r="H423" s="104"/>
      <c r="I423" s="103"/>
      <c r="J423" s="103"/>
      <c r="K423" s="103"/>
      <c r="L423" s="103"/>
      <c r="M423" s="104"/>
      <c r="N423" s="103"/>
      <c r="O423" s="103"/>
      <c r="P423" s="103"/>
      <c r="Q423" s="103"/>
      <c r="R423" s="103"/>
      <c r="S423" s="103"/>
      <c r="T423" s="103"/>
      <c r="U423" s="103"/>
      <c r="V423" s="103"/>
      <c r="W423" s="103"/>
      <c r="X423" s="103"/>
      <c r="Y423" s="103"/>
      <c r="Z423" s="299"/>
      <c r="AA423" s="299"/>
      <c r="AB423" s="299"/>
      <c r="AC423" s="299"/>
      <c r="AD423" s="299"/>
      <c r="AE423" s="299"/>
      <c r="AF423" s="299"/>
    </row>
    <row r="424" spans="3:32" x14ac:dyDescent="0.2">
      <c r="C424" s="103"/>
      <c r="D424" s="103"/>
      <c r="E424" s="103"/>
      <c r="F424" s="103"/>
      <c r="G424" s="103"/>
      <c r="H424" s="104"/>
      <c r="I424" s="103"/>
      <c r="J424" s="103"/>
      <c r="K424" s="103"/>
      <c r="L424" s="103"/>
      <c r="M424" s="104"/>
      <c r="N424" s="103"/>
      <c r="O424" s="103"/>
      <c r="P424" s="103"/>
      <c r="Q424" s="103"/>
      <c r="R424" s="103"/>
      <c r="S424" s="103"/>
      <c r="T424" s="103"/>
      <c r="U424" s="103"/>
      <c r="V424" s="103"/>
      <c r="W424" s="103"/>
      <c r="X424" s="103"/>
      <c r="Y424" s="103"/>
      <c r="Z424" s="299"/>
      <c r="AA424" s="299"/>
      <c r="AB424" s="299"/>
      <c r="AC424" s="299"/>
      <c r="AD424" s="299"/>
      <c r="AE424" s="299"/>
      <c r="AF424" s="299"/>
    </row>
    <row r="425" spans="3:32" x14ac:dyDescent="0.2">
      <c r="C425" s="103"/>
      <c r="D425" s="103"/>
      <c r="E425" s="103"/>
      <c r="F425" s="103"/>
      <c r="G425" s="103"/>
      <c r="H425" s="104"/>
      <c r="I425" s="103"/>
      <c r="J425" s="103"/>
      <c r="K425" s="103"/>
      <c r="L425" s="103"/>
      <c r="M425" s="104"/>
      <c r="N425" s="103"/>
      <c r="O425" s="103"/>
      <c r="P425" s="103"/>
      <c r="Q425" s="103"/>
      <c r="R425" s="103"/>
      <c r="S425" s="103"/>
      <c r="T425" s="103"/>
      <c r="U425" s="103"/>
      <c r="V425" s="103"/>
      <c r="W425" s="103"/>
      <c r="X425" s="103"/>
      <c r="Y425" s="103"/>
      <c r="Z425" s="299"/>
      <c r="AA425" s="299"/>
      <c r="AB425" s="299"/>
      <c r="AC425" s="299"/>
      <c r="AD425" s="299"/>
      <c r="AE425" s="299"/>
      <c r="AF425" s="299"/>
    </row>
    <row r="426" spans="3:32" x14ac:dyDescent="0.2">
      <c r="C426" s="103"/>
      <c r="D426" s="103"/>
      <c r="E426" s="103"/>
      <c r="F426" s="103"/>
      <c r="G426" s="103"/>
      <c r="H426" s="104"/>
      <c r="I426" s="103"/>
      <c r="J426" s="103"/>
      <c r="K426" s="103"/>
      <c r="L426" s="103"/>
      <c r="M426" s="104"/>
      <c r="N426" s="103"/>
      <c r="O426" s="103"/>
      <c r="P426" s="103"/>
      <c r="Q426" s="103"/>
      <c r="R426" s="103"/>
      <c r="S426" s="103"/>
      <c r="T426" s="103"/>
      <c r="U426" s="103"/>
      <c r="V426" s="103"/>
      <c r="W426" s="103"/>
      <c r="X426" s="103"/>
      <c r="Y426" s="103"/>
      <c r="Z426" s="299"/>
      <c r="AA426" s="299"/>
      <c r="AB426" s="299"/>
      <c r="AC426" s="299"/>
      <c r="AD426" s="299"/>
      <c r="AE426" s="299"/>
      <c r="AF426" s="299"/>
    </row>
    <row r="427" spans="3:32" x14ac:dyDescent="0.2">
      <c r="C427" s="103"/>
      <c r="D427" s="103"/>
      <c r="E427" s="103"/>
      <c r="F427" s="103"/>
      <c r="G427" s="103"/>
      <c r="H427" s="104"/>
      <c r="I427" s="103"/>
      <c r="J427" s="103"/>
      <c r="K427" s="103"/>
      <c r="L427" s="103"/>
      <c r="M427" s="104"/>
      <c r="N427" s="103"/>
      <c r="O427" s="103"/>
      <c r="P427" s="103"/>
      <c r="Q427" s="103"/>
      <c r="R427" s="103"/>
      <c r="S427" s="103"/>
      <c r="T427" s="103"/>
      <c r="U427" s="103"/>
      <c r="V427" s="103"/>
      <c r="W427" s="103"/>
      <c r="X427" s="103"/>
      <c r="Y427" s="103"/>
      <c r="Z427" s="299"/>
      <c r="AA427" s="299"/>
      <c r="AB427" s="299"/>
      <c r="AC427" s="299"/>
      <c r="AD427" s="299"/>
      <c r="AE427" s="299"/>
      <c r="AF427" s="299"/>
    </row>
    <row r="428" spans="3:32" x14ac:dyDescent="0.2">
      <c r="C428" s="103"/>
      <c r="D428" s="103"/>
      <c r="E428" s="103"/>
      <c r="F428" s="103"/>
      <c r="G428" s="103"/>
      <c r="H428" s="104"/>
      <c r="I428" s="103"/>
      <c r="J428" s="103"/>
      <c r="K428" s="103"/>
      <c r="L428" s="103"/>
      <c r="M428" s="104"/>
      <c r="N428" s="103"/>
      <c r="O428" s="103"/>
      <c r="P428" s="103"/>
      <c r="Q428" s="103"/>
      <c r="R428" s="103"/>
      <c r="S428" s="103"/>
      <c r="T428" s="103"/>
      <c r="U428" s="103"/>
      <c r="V428" s="103"/>
      <c r="W428" s="103"/>
      <c r="X428" s="103"/>
      <c r="Y428" s="103"/>
      <c r="Z428" s="299"/>
      <c r="AA428" s="299"/>
      <c r="AB428" s="299"/>
      <c r="AC428" s="299"/>
      <c r="AD428" s="299"/>
      <c r="AE428" s="299"/>
      <c r="AF428" s="299"/>
    </row>
    <row r="429" spans="3:32" x14ac:dyDescent="0.2">
      <c r="C429" s="103"/>
      <c r="D429" s="103"/>
      <c r="E429" s="103"/>
      <c r="F429" s="103"/>
      <c r="G429" s="103"/>
      <c r="H429" s="104"/>
      <c r="I429" s="103"/>
      <c r="J429" s="103"/>
      <c r="K429" s="103"/>
      <c r="L429" s="103"/>
      <c r="M429" s="104"/>
      <c r="N429" s="103"/>
      <c r="O429" s="103"/>
      <c r="P429" s="103"/>
      <c r="Q429" s="103"/>
      <c r="R429" s="103"/>
      <c r="S429" s="103"/>
      <c r="T429" s="103"/>
      <c r="U429" s="103"/>
      <c r="V429" s="103"/>
      <c r="W429" s="103"/>
      <c r="X429" s="103"/>
      <c r="Y429" s="103"/>
      <c r="Z429" s="299"/>
      <c r="AA429" s="299"/>
      <c r="AB429" s="299"/>
      <c r="AC429" s="299"/>
      <c r="AD429" s="299"/>
      <c r="AE429" s="299"/>
      <c r="AF429" s="299"/>
    </row>
    <row r="430" spans="3:32" x14ac:dyDescent="0.2">
      <c r="C430" s="103"/>
      <c r="D430" s="103"/>
      <c r="E430" s="103"/>
      <c r="F430" s="103"/>
      <c r="G430" s="103"/>
      <c r="H430" s="104"/>
      <c r="I430" s="103"/>
      <c r="J430" s="103"/>
      <c r="K430" s="103"/>
      <c r="L430" s="103"/>
      <c r="M430" s="104"/>
      <c r="N430" s="103"/>
      <c r="O430" s="103"/>
      <c r="P430" s="103"/>
      <c r="Q430" s="103"/>
      <c r="R430" s="103"/>
      <c r="S430" s="103"/>
      <c r="T430" s="103"/>
      <c r="U430" s="103"/>
      <c r="V430" s="103"/>
      <c r="W430" s="103"/>
      <c r="X430" s="103"/>
      <c r="Y430" s="103"/>
      <c r="Z430" s="299"/>
      <c r="AA430" s="299"/>
      <c r="AB430" s="299"/>
      <c r="AC430" s="299"/>
      <c r="AD430" s="299"/>
      <c r="AE430" s="299"/>
      <c r="AF430" s="299"/>
    </row>
    <row r="431" spans="3:32" x14ac:dyDescent="0.2">
      <c r="C431" s="103"/>
      <c r="D431" s="103"/>
      <c r="E431" s="103"/>
      <c r="F431" s="103"/>
      <c r="G431" s="103"/>
      <c r="H431" s="104"/>
      <c r="I431" s="103"/>
      <c r="J431" s="103"/>
      <c r="K431" s="103"/>
      <c r="L431" s="103"/>
      <c r="M431" s="104"/>
      <c r="N431" s="103"/>
      <c r="O431" s="103"/>
      <c r="P431" s="103"/>
      <c r="Q431" s="103"/>
      <c r="R431" s="103"/>
      <c r="S431" s="103"/>
      <c r="T431" s="103"/>
      <c r="U431" s="103"/>
      <c r="V431" s="103"/>
      <c r="W431" s="103"/>
      <c r="X431" s="103"/>
      <c r="Y431" s="103"/>
      <c r="Z431" s="299"/>
      <c r="AA431" s="299"/>
      <c r="AB431" s="299"/>
      <c r="AC431" s="299"/>
      <c r="AD431" s="299"/>
      <c r="AE431" s="299"/>
      <c r="AF431" s="299"/>
    </row>
    <row r="432" spans="3:32" x14ac:dyDescent="0.2">
      <c r="C432" s="103"/>
      <c r="D432" s="103"/>
      <c r="E432" s="103"/>
      <c r="F432" s="103"/>
      <c r="G432" s="103"/>
      <c r="H432" s="104"/>
      <c r="I432" s="103"/>
      <c r="J432" s="103"/>
      <c r="K432" s="103"/>
      <c r="L432" s="103"/>
      <c r="M432" s="104"/>
      <c r="N432" s="103"/>
      <c r="O432" s="103"/>
      <c r="P432" s="103"/>
      <c r="Q432" s="103"/>
      <c r="R432" s="103"/>
      <c r="S432" s="103"/>
      <c r="T432" s="103"/>
      <c r="U432" s="103"/>
      <c r="V432" s="103"/>
      <c r="W432" s="103"/>
      <c r="X432" s="103"/>
      <c r="Y432" s="103"/>
      <c r="Z432" s="299"/>
      <c r="AA432" s="299"/>
      <c r="AB432" s="299"/>
      <c r="AC432" s="299"/>
      <c r="AD432" s="299"/>
      <c r="AE432" s="299"/>
      <c r="AF432" s="299"/>
    </row>
    <row r="433" spans="3:32" x14ac:dyDescent="0.2">
      <c r="C433" s="103"/>
      <c r="D433" s="103"/>
      <c r="E433" s="103"/>
      <c r="F433" s="103"/>
      <c r="G433" s="103"/>
      <c r="H433" s="104"/>
      <c r="I433" s="103"/>
      <c r="J433" s="103"/>
      <c r="K433" s="103"/>
      <c r="L433" s="103"/>
      <c r="M433" s="104"/>
      <c r="N433" s="103"/>
      <c r="O433" s="103"/>
      <c r="P433" s="103"/>
      <c r="Q433" s="103"/>
      <c r="R433" s="103"/>
      <c r="S433" s="103"/>
      <c r="T433" s="103"/>
      <c r="U433" s="103"/>
      <c r="V433" s="103"/>
      <c r="W433" s="103"/>
      <c r="X433" s="103"/>
      <c r="Y433" s="103"/>
      <c r="Z433" s="299"/>
      <c r="AA433" s="299"/>
      <c r="AB433" s="299"/>
      <c r="AC433" s="299"/>
      <c r="AD433" s="299"/>
      <c r="AE433" s="299"/>
      <c r="AF433" s="299"/>
    </row>
    <row r="434" spans="3:32" x14ac:dyDescent="0.2">
      <c r="C434" s="103"/>
      <c r="D434" s="103"/>
      <c r="E434" s="103"/>
      <c r="F434" s="103"/>
      <c r="G434" s="103"/>
      <c r="H434" s="104"/>
      <c r="I434" s="103"/>
      <c r="J434" s="103"/>
      <c r="K434" s="103"/>
      <c r="L434" s="103"/>
      <c r="M434" s="104"/>
      <c r="N434" s="103"/>
      <c r="O434" s="103"/>
      <c r="P434" s="103"/>
      <c r="Q434" s="103"/>
      <c r="R434" s="103"/>
      <c r="S434" s="103"/>
      <c r="T434" s="103"/>
      <c r="U434" s="103"/>
      <c r="V434" s="103"/>
      <c r="W434" s="103"/>
      <c r="X434" s="103"/>
      <c r="Y434" s="103"/>
      <c r="Z434" s="299"/>
      <c r="AA434" s="299"/>
      <c r="AB434" s="299"/>
      <c r="AC434" s="299"/>
      <c r="AD434" s="299"/>
      <c r="AE434" s="299"/>
      <c r="AF434" s="299"/>
    </row>
    <row r="435" spans="3:32" x14ac:dyDescent="0.2">
      <c r="C435" s="103"/>
      <c r="D435" s="103"/>
      <c r="E435" s="103"/>
      <c r="F435" s="103"/>
      <c r="G435" s="103"/>
      <c r="H435" s="104"/>
      <c r="I435" s="103"/>
      <c r="J435" s="103"/>
      <c r="K435" s="103"/>
      <c r="L435" s="103"/>
      <c r="M435" s="104"/>
      <c r="N435" s="103"/>
      <c r="O435" s="103"/>
      <c r="P435" s="103"/>
      <c r="Q435" s="103"/>
      <c r="R435" s="103"/>
      <c r="S435" s="103"/>
      <c r="T435" s="103"/>
      <c r="U435" s="103"/>
      <c r="V435" s="103"/>
      <c r="W435" s="103"/>
      <c r="X435" s="103"/>
      <c r="Y435" s="103"/>
      <c r="Z435" s="299"/>
      <c r="AA435" s="299"/>
      <c r="AB435" s="299"/>
      <c r="AC435" s="299"/>
      <c r="AD435" s="299"/>
      <c r="AE435" s="299"/>
      <c r="AF435" s="299"/>
    </row>
    <row r="436" spans="3:32" x14ac:dyDescent="0.2">
      <c r="C436" s="103"/>
      <c r="D436" s="103"/>
      <c r="E436" s="103"/>
      <c r="F436" s="103"/>
      <c r="G436" s="103"/>
      <c r="H436" s="104"/>
      <c r="I436" s="103"/>
      <c r="J436" s="103"/>
      <c r="K436" s="103"/>
      <c r="L436" s="103"/>
      <c r="M436" s="104"/>
      <c r="N436" s="103"/>
      <c r="O436" s="103"/>
      <c r="P436" s="103"/>
      <c r="Q436" s="103"/>
      <c r="R436" s="103"/>
      <c r="S436" s="103"/>
      <c r="T436" s="103"/>
      <c r="U436" s="103"/>
      <c r="V436" s="103"/>
      <c r="W436" s="103"/>
      <c r="X436" s="103"/>
      <c r="Y436" s="103"/>
      <c r="Z436" s="299"/>
      <c r="AA436" s="299"/>
      <c r="AB436" s="299"/>
      <c r="AC436" s="299"/>
      <c r="AD436" s="299"/>
      <c r="AE436" s="299"/>
      <c r="AF436" s="299"/>
    </row>
    <row r="437" spans="3:32" x14ac:dyDescent="0.2">
      <c r="C437" s="103"/>
      <c r="D437" s="103"/>
      <c r="E437" s="103"/>
      <c r="F437" s="103"/>
      <c r="G437" s="103"/>
      <c r="H437" s="104"/>
      <c r="I437" s="103"/>
      <c r="J437" s="103"/>
      <c r="K437" s="103"/>
      <c r="L437" s="103"/>
      <c r="M437" s="104"/>
      <c r="N437" s="103"/>
      <c r="O437" s="103"/>
      <c r="P437" s="103"/>
      <c r="Q437" s="103"/>
      <c r="R437" s="103"/>
      <c r="S437" s="103"/>
      <c r="T437" s="103"/>
      <c r="U437" s="103"/>
      <c r="V437" s="103"/>
      <c r="W437" s="103"/>
      <c r="X437" s="103"/>
      <c r="Y437" s="103"/>
      <c r="Z437" s="299"/>
      <c r="AA437" s="299"/>
      <c r="AB437" s="299"/>
      <c r="AC437" s="299"/>
      <c r="AD437" s="299"/>
      <c r="AE437" s="299"/>
      <c r="AF437" s="299"/>
    </row>
    <row r="438" spans="3:32" x14ac:dyDescent="0.2">
      <c r="C438" s="103"/>
      <c r="D438" s="103"/>
      <c r="E438" s="103"/>
      <c r="F438" s="103"/>
      <c r="G438" s="103"/>
      <c r="H438" s="104"/>
      <c r="I438" s="103"/>
      <c r="J438" s="103"/>
      <c r="K438" s="103"/>
      <c r="L438" s="103"/>
      <c r="M438" s="104"/>
      <c r="N438" s="103"/>
      <c r="O438" s="103"/>
      <c r="P438" s="103"/>
      <c r="Q438" s="103"/>
      <c r="R438" s="103"/>
      <c r="S438" s="103"/>
      <c r="T438" s="103"/>
      <c r="U438" s="103"/>
      <c r="V438" s="103"/>
      <c r="W438" s="103"/>
      <c r="X438" s="103"/>
      <c r="Y438" s="103"/>
      <c r="Z438" s="299"/>
      <c r="AA438" s="299"/>
      <c r="AB438" s="299"/>
      <c r="AC438" s="299"/>
      <c r="AD438" s="299"/>
      <c r="AE438" s="299"/>
      <c r="AF438" s="299"/>
    </row>
    <row r="439" spans="3:32" x14ac:dyDescent="0.2">
      <c r="C439" s="103"/>
      <c r="D439" s="103"/>
      <c r="E439" s="103"/>
      <c r="F439" s="103"/>
      <c r="G439" s="103"/>
      <c r="H439" s="104"/>
      <c r="I439" s="103"/>
      <c r="J439" s="103"/>
      <c r="K439" s="103"/>
      <c r="L439" s="103"/>
      <c r="M439" s="104"/>
      <c r="N439" s="103"/>
      <c r="O439" s="103"/>
      <c r="P439" s="103"/>
      <c r="Q439" s="103"/>
      <c r="R439" s="103"/>
      <c r="S439" s="103"/>
      <c r="T439" s="103"/>
      <c r="U439" s="103"/>
      <c r="V439" s="103"/>
      <c r="W439" s="103"/>
      <c r="X439" s="103"/>
      <c r="Y439" s="103"/>
      <c r="Z439" s="299"/>
      <c r="AA439" s="299"/>
      <c r="AB439" s="299"/>
      <c r="AC439" s="299"/>
      <c r="AD439" s="299"/>
      <c r="AE439" s="299"/>
      <c r="AF439" s="299"/>
    </row>
    <row r="440" spans="3:32" x14ac:dyDescent="0.2">
      <c r="C440" s="103"/>
      <c r="D440" s="103"/>
      <c r="E440" s="103"/>
      <c r="F440" s="103"/>
      <c r="G440" s="103"/>
      <c r="H440" s="104"/>
      <c r="I440" s="103"/>
      <c r="J440" s="103"/>
      <c r="K440" s="103"/>
      <c r="L440" s="103"/>
      <c r="M440" s="104"/>
      <c r="N440" s="103"/>
      <c r="O440" s="103"/>
      <c r="P440" s="103"/>
      <c r="Q440" s="103"/>
      <c r="R440" s="103"/>
      <c r="S440" s="103"/>
      <c r="T440" s="103"/>
      <c r="U440" s="103"/>
      <c r="V440" s="103"/>
      <c r="W440" s="103"/>
      <c r="X440" s="103"/>
      <c r="Y440" s="103"/>
      <c r="Z440" s="299"/>
      <c r="AA440" s="299"/>
      <c r="AB440" s="299"/>
      <c r="AC440" s="299"/>
      <c r="AD440" s="299"/>
      <c r="AE440" s="299"/>
      <c r="AF440" s="299"/>
    </row>
    <row r="441" spans="3:32" x14ac:dyDescent="0.2">
      <c r="C441" s="103"/>
      <c r="D441" s="103"/>
      <c r="E441" s="103"/>
      <c r="F441" s="103"/>
      <c r="G441" s="103"/>
      <c r="H441" s="104"/>
      <c r="I441" s="103"/>
      <c r="J441" s="103"/>
      <c r="K441" s="103"/>
      <c r="L441" s="103"/>
      <c r="M441" s="104"/>
      <c r="N441" s="103"/>
      <c r="O441" s="103"/>
      <c r="P441" s="103"/>
      <c r="Q441" s="103"/>
      <c r="R441" s="103"/>
      <c r="S441" s="103"/>
      <c r="T441" s="103"/>
      <c r="U441" s="103"/>
      <c r="V441" s="103"/>
      <c r="W441" s="103"/>
      <c r="X441" s="103"/>
      <c r="Y441" s="103"/>
      <c r="Z441" s="299"/>
      <c r="AA441" s="299"/>
      <c r="AB441" s="299"/>
      <c r="AC441" s="299"/>
      <c r="AD441" s="299"/>
      <c r="AE441" s="299"/>
      <c r="AF441" s="299"/>
    </row>
    <row r="442" spans="3:32" x14ac:dyDescent="0.2">
      <c r="C442" s="103"/>
      <c r="D442" s="103"/>
      <c r="E442" s="103"/>
      <c r="F442" s="103"/>
      <c r="G442" s="103"/>
      <c r="H442" s="104"/>
      <c r="I442" s="103"/>
      <c r="J442" s="103"/>
      <c r="K442" s="103"/>
      <c r="L442" s="103"/>
      <c r="M442" s="104"/>
      <c r="N442" s="103"/>
      <c r="O442" s="103"/>
      <c r="P442" s="103"/>
      <c r="Q442" s="103"/>
      <c r="R442" s="103"/>
      <c r="S442" s="103"/>
      <c r="T442" s="103"/>
      <c r="U442" s="103"/>
      <c r="V442" s="103"/>
      <c r="W442" s="103"/>
      <c r="X442" s="103"/>
      <c r="Y442" s="103"/>
      <c r="Z442" s="299"/>
      <c r="AA442" s="299"/>
      <c r="AB442" s="299"/>
      <c r="AC442" s="299"/>
      <c r="AD442" s="299"/>
      <c r="AE442" s="299"/>
      <c r="AF442" s="299"/>
    </row>
    <row r="443" spans="3:32" x14ac:dyDescent="0.2">
      <c r="C443" s="103"/>
      <c r="D443" s="103"/>
      <c r="E443" s="103"/>
      <c r="F443" s="103"/>
      <c r="G443" s="103"/>
      <c r="H443" s="104"/>
      <c r="I443" s="103"/>
      <c r="J443" s="103"/>
      <c r="K443" s="103"/>
      <c r="L443" s="103"/>
      <c r="M443" s="104"/>
      <c r="N443" s="103"/>
      <c r="O443" s="103"/>
      <c r="P443" s="103"/>
      <c r="Q443" s="103"/>
      <c r="R443" s="103"/>
      <c r="S443" s="103"/>
      <c r="T443" s="103"/>
      <c r="U443" s="103"/>
      <c r="V443" s="103"/>
      <c r="W443" s="103"/>
      <c r="X443" s="103"/>
      <c r="Y443" s="103"/>
      <c r="Z443" s="299"/>
      <c r="AA443" s="299"/>
      <c r="AB443" s="299"/>
      <c r="AC443" s="299"/>
      <c r="AD443" s="299"/>
      <c r="AE443" s="299"/>
      <c r="AF443" s="299"/>
    </row>
    <row r="444" spans="3:32" x14ac:dyDescent="0.2">
      <c r="C444" s="103"/>
      <c r="D444" s="103"/>
      <c r="E444" s="103"/>
      <c r="F444" s="103"/>
      <c r="G444" s="103"/>
      <c r="H444" s="104"/>
      <c r="I444" s="103"/>
      <c r="J444" s="103"/>
      <c r="K444" s="103"/>
      <c r="L444" s="103"/>
      <c r="M444" s="104"/>
      <c r="N444" s="103"/>
      <c r="O444" s="103"/>
      <c r="P444" s="103"/>
      <c r="Q444" s="103"/>
      <c r="R444" s="103"/>
      <c r="S444" s="103"/>
      <c r="T444" s="103"/>
      <c r="U444" s="103"/>
      <c r="V444" s="103"/>
      <c r="W444" s="103"/>
      <c r="X444" s="103"/>
      <c r="Y444" s="103"/>
      <c r="Z444" s="299"/>
      <c r="AA444" s="299"/>
      <c r="AB444" s="299"/>
      <c r="AC444" s="299"/>
      <c r="AD444" s="299"/>
      <c r="AE444" s="299"/>
      <c r="AF444" s="299"/>
    </row>
    <row r="445" spans="3:32" x14ac:dyDescent="0.2">
      <c r="C445" s="103"/>
      <c r="D445" s="103"/>
      <c r="E445" s="103"/>
      <c r="F445" s="103"/>
      <c r="G445" s="103"/>
      <c r="H445" s="104"/>
      <c r="I445" s="103"/>
      <c r="J445" s="103"/>
      <c r="K445" s="103"/>
      <c r="L445" s="103"/>
      <c r="M445" s="104"/>
      <c r="N445" s="103"/>
      <c r="O445" s="103"/>
      <c r="P445" s="103"/>
      <c r="Q445" s="103"/>
      <c r="R445" s="103"/>
      <c r="S445" s="103"/>
      <c r="T445" s="103"/>
      <c r="U445" s="103"/>
      <c r="V445" s="103"/>
      <c r="W445" s="103"/>
      <c r="X445" s="103"/>
      <c r="Y445" s="103"/>
      <c r="Z445" s="299"/>
      <c r="AA445" s="299"/>
      <c r="AB445" s="299"/>
      <c r="AC445" s="299"/>
      <c r="AD445" s="299"/>
      <c r="AE445" s="299"/>
      <c r="AF445" s="299"/>
    </row>
    <row r="446" spans="3:32" x14ac:dyDescent="0.2">
      <c r="C446" s="103"/>
      <c r="D446" s="103"/>
      <c r="E446" s="103"/>
      <c r="F446" s="103"/>
      <c r="G446" s="103"/>
      <c r="H446" s="104"/>
      <c r="I446" s="103"/>
      <c r="J446" s="103"/>
      <c r="K446" s="103"/>
      <c r="L446" s="103"/>
      <c r="M446" s="104"/>
      <c r="N446" s="103"/>
      <c r="O446" s="103"/>
      <c r="P446" s="103"/>
      <c r="Q446" s="103"/>
      <c r="R446" s="103"/>
      <c r="S446" s="103"/>
      <c r="T446" s="103"/>
      <c r="U446" s="103"/>
      <c r="V446" s="103"/>
      <c r="W446" s="103"/>
      <c r="X446" s="103"/>
      <c r="Y446" s="103"/>
      <c r="Z446" s="299"/>
      <c r="AA446" s="299"/>
      <c r="AB446" s="299"/>
      <c r="AC446" s="299"/>
      <c r="AD446" s="299"/>
      <c r="AE446" s="299"/>
      <c r="AF446" s="299"/>
    </row>
    <row r="447" spans="3:32" x14ac:dyDescent="0.2">
      <c r="C447" s="103"/>
      <c r="D447" s="103"/>
      <c r="E447" s="103"/>
      <c r="F447" s="103"/>
      <c r="G447" s="103"/>
      <c r="H447" s="104"/>
      <c r="I447" s="103"/>
      <c r="J447" s="103"/>
      <c r="K447" s="103"/>
      <c r="L447" s="103"/>
      <c r="M447" s="104"/>
      <c r="N447" s="103"/>
      <c r="O447" s="103"/>
      <c r="P447" s="103"/>
      <c r="Q447" s="103"/>
      <c r="R447" s="103"/>
      <c r="S447" s="103"/>
      <c r="T447" s="103"/>
      <c r="U447" s="103"/>
      <c r="V447" s="103"/>
      <c r="W447" s="103"/>
      <c r="X447" s="103"/>
      <c r="Y447" s="103"/>
      <c r="Z447" s="299"/>
      <c r="AA447" s="299"/>
      <c r="AB447" s="299"/>
      <c r="AC447" s="299"/>
      <c r="AD447" s="299"/>
      <c r="AE447" s="299"/>
      <c r="AF447" s="299"/>
    </row>
    <row r="448" spans="3:32" x14ac:dyDescent="0.2">
      <c r="C448" s="103"/>
      <c r="D448" s="103"/>
      <c r="E448" s="103"/>
      <c r="F448" s="103"/>
      <c r="G448" s="103"/>
      <c r="H448" s="104"/>
      <c r="I448" s="103"/>
      <c r="J448" s="103"/>
      <c r="K448" s="103"/>
      <c r="L448" s="103"/>
      <c r="M448" s="104"/>
      <c r="N448" s="103"/>
      <c r="O448" s="103"/>
      <c r="P448" s="103"/>
      <c r="Q448" s="103"/>
      <c r="R448" s="103"/>
      <c r="S448" s="103"/>
      <c r="T448" s="103"/>
      <c r="U448" s="103"/>
      <c r="V448" s="103"/>
      <c r="W448" s="103"/>
      <c r="X448" s="103"/>
      <c r="Y448" s="103"/>
      <c r="Z448" s="299"/>
      <c r="AA448" s="299"/>
      <c r="AB448" s="299"/>
      <c r="AC448" s="299"/>
      <c r="AD448" s="299"/>
      <c r="AE448" s="299"/>
      <c r="AF448" s="299"/>
    </row>
    <row r="449" spans="3:32" x14ac:dyDescent="0.2">
      <c r="C449" s="103"/>
      <c r="D449" s="103"/>
      <c r="E449" s="103"/>
      <c r="F449" s="103"/>
      <c r="G449" s="103"/>
      <c r="H449" s="104"/>
      <c r="I449" s="103"/>
      <c r="J449" s="103"/>
      <c r="K449" s="103"/>
      <c r="L449" s="103"/>
      <c r="M449" s="104"/>
      <c r="N449" s="103"/>
      <c r="O449" s="103"/>
      <c r="P449" s="103"/>
      <c r="Q449" s="103"/>
      <c r="R449" s="103"/>
      <c r="S449" s="103"/>
      <c r="T449" s="103"/>
      <c r="U449" s="103"/>
      <c r="V449" s="103"/>
      <c r="W449" s="103"/>
      <c r="X449" s="103"/>
      <c r="Y449" s="103"/>
      <c r="Z449" s="299"/>
      <c r="AA449" s="299"/>
      <c r="AB449" s="299"/>
      <c r="AC449" s="299"/>
      <c r="AD449" s="299"/>
      <c r="AE449" s="299"/>
      <c r="AF449" s="299"/>
    </row>
    <row r="450" spans="3:32" x14ac:dyDescent="0.2">
      <c r="C450" s="103"/>
      <c r="D450" s="103"/>
      <c r="E450" s="103"/>
      <c r="F450" s="103"/>
      <c r="G450" s="103"/>
      <c r="H450" s="104"/>
      <c r="I450" s="103"/>
      <c r="J450" s="103"/>
      <c r="K450" s="103"/>
      <c r="L450" s="103"/>
      <c r="M450" s="104"/>
      <c r="N450" s="103"/>
      <c r="O450" s="103"/>
      <c r="P450" s="103"/>
      <c r="Q450" s="103"/>
      <c r="R450" s="103"/>
      <c r="S450" s="103"/>
      <c r="T450" s="103"/>
      <c r="U450" s="103"/>
      <c r="V450" s="103"/>
      <c r="W450" s="103"/>
      <c r="X450" s="103"/>
      <c r="Y450" s="103"/>
      <c r="Z450" s="299"/>
      <c r="AA450" s="299"/>
      <c r="AB450" s="299"/>
      <c r="AC450" s="299"/>
      <c r="AD450" s="299"/>
      <c r="AE450" s="299"/>
      <c r="AF450" s="299"/>
    </row>
    <row r="451" spans="3:32" x14ac:dyDescent="0.2">
      <c r="C451" s="103"/>
      <c r="D451" s="103"/>
      <c r="E451" s="103"/>
      <c r="F451" s="103"/>
      <c r="G451" s="103"/>
      <c r="H451" s="104"/>
      <c r="I451" s="103"/>
      <c r="J451" s="103"/>
      <c r="K451" s="103"/>
      <c r="L451" s="103"/>
      <c r="M451" s="104"/>
      <c r="N451" s="103"/>
      <c r="O451" s="103"/>
      <c r="P451" s="103"/>
      <c r="Q451" s="103"/>
      <c r="R451" s="103"/>
      <c r="S451" s="103"/>
      <c r="T451" s="103"/>
      <c r="U451" s="103"/>
      <c r="V451" s="103"/>
      <c r="W451" s="103"/>
      <c r="X451" s="103"/>
      <c r="Y451" s="103"/>
      <c r="Z451" s="299"/>
      <c r="AA451" s="299"/>
      <c r="AB451" s="299"/>
      <c r="AC451" s="299"/>
      <c r="AD451" s="299"/>
      <c r="AE451" s="299"/>
      <c r="AF451" s="299"/>
    </row>
    <row r="452" spans="3:32" x14ac:dyDescent="0.2">
      <c r="C452" s="103"/>
      <c r="D452" s="103"/>
      <c r="E452" s="103"/>
      <c r="F452" s="103"/>
      <c r="G452" s="103"/>
      <c r="H452" s="104"/>
      <c r="I452" s="103"/>
      <c r="J452" s="103"/>
      <c r="K452" s="103"/>
      <c r="L452" s="103"/>
      <c r="M452" s="104"/>
      <c r="N452" s="103"/>
      <c r="O452" s="103"/>
      <c r="P452" s="103"/>
      <c r="Q452" s="103"/>
      <c r="R452" s="103"/>
      <c r="S452" s="103"/>
      <c r="T452" s="103"/>
      <c r="U452" s="103"/>
      <c r="V452" s="103"/>
      <c r="W452" s="103"/>
      <c r="X452" s="103"/>
      <c r="Y452" s="103"/>
      <c r="Z452" s="299"/>
      <c r="AA452" s="299"/>
      <c r="AB452" s="299"/>
      <c r="AC452" s="299"/>
      <c r="AD452" s="299"/>
      <c r="AE452" s="299"/>
      <c r="AF452" s="299"/>
    </row>
    <row r="453" spans="3:32" x14ac:dyDescent="0.2">
      <c r="C453" s="103"/>
      <c r="D453" s="103"/>
      <c r="E453" s="103"/>
      <c r="F453" s="103"/>
      <c r="G453" s="103"/>
      <c r="H453" s="104"/>
      <c r="I453" s="103"/>
      <c r="J453" s="103"/>
      <c r="K453" s="103"/>
      <c r="L453" s="103"/>
      <c r="M453" s="104"/>
      <c r="N453" s="103"/>
      <c r="O453" s="103"/>
      <c r="P453" s="103"/>
      <c r="Q453" s="103"/>
      <c r="R453" s="103"/>
      <c r="S453" s="103"/>
      <c r="T453" s="103"/>
      <c r="U453" s="103"/>
      <c r="V453" s="103"/>
      <c r="W453" s="103"/>
      <c r="X453" s="103"/>
      <c r="Y453" s="103"/>
      <c r="Z453" s="299"/>
      <c r="AA453" s="299"/>
      <c r="AB453" s="299"/>
      <c r="AC453" s="299"/>
      <c r="AD453" s="299"/>
      <c r="AE453" s="299"/>
      <c r="AF453" s="299"/>
    </row>
    <row r="454" spans="3:32" x14ac:dyDescent="0.2">
      <c r="C454" s="103"/>
      <c r="D454" s="103"/>
      <c r="E454" s="103"/>
      <c r="F454" s="103"/>
      <c r="G454" s="103"/>
      <c r="H454" s="104"/>
      <c r="I454" s="103"/>
      <c r="J454" s="103"/>
      <c r="K454" s="103"/>
      <c r="L454" s="103"/>
      <c r="M454" s="104"/>
      <c r="N454" s="103"/>
      <c r="O454" s="103"/>
      <c r="P454" s="103"/>
      <c r="Q454" s="103"/>
      <c r="R454" s="103"/>
      <c r="S454" s="103"/>
      <c r="T454" s="103"/>
      <c r="U454" s="103"/>
      <c r="V454" s="103"/>
      <c r="W454" s="103"/>
      <c r="X454" s="103"/>
      <c r="Y454" s="103"/>
      <c r="Z454" s="299"/>
      <c r="AA454" s="299"/>
      <c r="AB454" s="299"/>
      <c r="AC454" s="299"/>
      <c r="AD454" s="299"/>
      <c r="AE454" s="299"/>
      <c r="AF454" s="299"/>
    </row>
    <row r="455" spans="3:32" x14ac:dyDescent="0.2">
      <c r="C455" s="103"/>
      <c r="D455" s="103"/>
      <c r="E455" s="103"/>
      <c r="F455" s="103"/>
      <c r="G455" s="103"/>
      <c r="H455" s="104"/>
      <c r="I455" s="103"/>
      <c r="J455" s="103"/>
      <c r="K455" s="103"/>
      <c r="L455" s="103"/>
      <c r="M455" s="104"/>
      <c r="N455" s="103"/>
      <c r="O455" s="103"/>
      <c r="P455" s="103"/>
      <c r="Q455" s="103"/>
      <c r="R455" s="103"/>
      <c r="S455" s="103"/>
      <c r="T455" s="103"/>
      <c r="U455" s="103"/>
      <c r="V455" s="103"/>
      <c r="W455" s="103"/>
      <c r="X455" s="103"/>
      <c r="Y455" s="103"/>
      <c r="Z455" s="299"/>
      <c r="AA455" s="299"/>
      <c r="AB455" s="299"/>
      <c r="AC455" s="299"/>
      <c r="AD455" s="299"/>
      <c r="AE455" s="299"/>
      <c r="AF455" s="299"/>
    </row>
    <row r="456" spans="3:32" x14ac:dyDescent="0.2">
      <c r="C456" s="103"/>
      <c r="D456" s="103"/>
      <c r="E456" s="103"/>
      <c r="F456" s="103"/>
      <c r="G456" s="103"/>
      <c r="H456" s="104"/>
      <c r="I456" s="103"/>
      <c r="J456" s="103"/>
      <c r="K456" s="103"/>
      <c r="L456" s="103"/>
      <c r="M456" s="104"/>
      <c r="N456" s="103"/>
      <c r="O456" s="103"/>
      <c r="P456" s="103"/>
      <c r="Q456" s="103"/>
      <c r="R456" s="103"/>
      <c r="S456" s="103"/>
      <c r="T456" s="103"/>
      <c r="U456" s="103"/>
      <c r="V456" s="103"/>
      <c r="W456" s="103"/>
      <c r="X456" s="103"/>
      <c r="Y456" s="103"/>
      <c r="Z456" s="299"/>
      <c r="AA456" s="299"/>
      <c r="AB456" s="299"/>
      <c r="AC456" s="299"/>
      <c r="AD456" s="299"/>
      <c r="AE456" s="299"/>
      <c r="AF456" s="299"/>
    </row>
    <row r="457" spans="3:32" x14ac:dyDescent="0.2">
      <c r="C457" s="103"/>
      <c r="D457" s="103"/>
      <c r="E457" s="103"/>
      <c r="F457" s="103"/>
      <c r="G457" s="103"/>
      <c r="H457" s="104"/>
      <c r="I457" s="103"/>
      <c r="J457" s="103"/>
      <c r="K457" s="103"/>
      <c r="L457" s="103"/>
      <c r="M457" s="104"/>
      <c r="N457" s="103"/>
      <c r="O457" s="103"/>
      <c r="P457" s="103"/>
      <c r="Q457" s="103"/>
      <c r="R457" s="103"/>
      <c r="S457" s="103"/>
      <c r="T457" s="103"/>
      <c r="U457" s="103"/>
      <c r="V457" s="103"/>
      <c r="W457" s="103"/>
      <c r="X457" s="103"/>
      <c r="Y457" s="103"/>
      <c r="Z457" s="299"/>
      <c r="AA457" s="299"/>
      <c r="AB457" s="299"/>
      <c r="AC457" s="299"/>
      <c r="AD457" s="299"/>
      <c r="AE457" s="299"/>
      <c r="AF457" s="299"/>
    </row>
    <row r="458" spans="3:32" x14ac:dyDescent="0.2">
      <c r="C458" s="103"/>
      <c r="D458" s="103"/>
      <c r="E458" s="103"/>
      <c r="F458" s="103"/>
      <c r="G458" s="103"/>
      <c r="H458" s="104"/>
      <c r="I458" s="103"/>
      <c r="J458" s="103"/>
      <c r="K458" s="103"/>
      <c r="L458" s="103"/>
      <c r="M458" s="104"/>
      <c r="N458" s="103"/>
      <c r="O458" s="103"/>
      <c r="P458" s="103"/>
      <c r="Q458" s="103"/>
      <c r="R458" s="103"/>
      <c r="S458" s="103"/>
      <c r="T458" s="103"/>
      <c r="U458" s="103"/>
      <c r="V458" s="103"/>
      <c r="W458" s="103"/>
      <c r="X458" s="103"/>
      <c r="Y458" s="103"/>
      <c r="Z458" s="299"/>
      <c r="AA458" s="299"/>
      <c r="AB458" s="299"/>
      <c r="AC458" s="299"/>
      <c r="AD458" s="299"/>
      <c r="AE458" s="299"/>
      <c r="AF458" s="299"/>
    </row>
    <row r="459" spans="3:32" x14ac:dyDescent="0.2">
      <c r="C459" s="103"/>
      <c r="D459" s="103"/>
      <c r="E459" s="103"/>
      <c r="F459" s="103"/>
      <c r="G459" s="103"/>
      <c r="H459" s="104"/>
      <c r="I459" s="103"/>
      <c r="J459" s="103"/>
      <c r="K459" s="103"/>
      <c r="L459" s="103"/>
      <c r="M459" s="104"/>
      <c r="N459" s="103"/>
      <c r="O459" s="103"/>
      <c r="P459" s="103"/>
      <c r="Q459" s="103"/>
      <c r="R459" s="103"/>
      <c r="S459" s="103"/>
      <c r="T459" s="103"/>
      <c r="U459" s="103"/>
      <c r="V459" s="103"/>
      <c r="W459" s="103"/>
      <c r="X459" s="103"/>
      <c r="Y459" s="103"/>
      <c r="Z459" s="299"/>
      <c r="AA459" s="299"/>
      <c r="AB459" s="299"/>
      <c r="AC459" s="299"/>
      <c r="AD459" s="299"/>
      <c r="AE459" s="299"/>
      <c r="AF459" s="299"/>
    </row>
    <row r="460" spans="3:32" x14ac:dyDescent="0.2">
      <c r="C460" s="103"/>
      <c r="D460" s="103"/>
      <c r="E460" s="103"/>
      <c r="F460" s="103"/>
      <c r="G460" s="103"/>
      <c r="H460" s="104"/>
      <c r="I460" s="103"/>
      <c r="J460" s="103"/>
      <c r="K460" s="103"/>
      <c r="L460" s="103"/>
      <c r="M460" s="104"/>
      <c r="N460" s="103"/>
      <c r="O460" s="103"/>
      <c r="P460" s="103"/>
      <c r="Q460" s="103"/>
      <c r="R460" s="103"/>
      <c r="S460" s="103"/>
      <c r="T460" s="103"/>
      <c r="U460" s="103"/>
      <c r="V460" s="103"/>
      <c r="W460" s="103"/>
      <c r="X460" s="103"/>
      <c r="Y460" s="103"/>
      <c r="Z460" s="299"/>
      <c r="AA460" s="299"/>
      <c r="AB460" s="299"/>
      <c r="AC460" s="299"/>
      <c r="AD460" s="299"/>
      <c r="AE460" s="299"/>
      <c r="AF460" s="299"/>
    </row>
    <row r="461" spans="3:32" x14ac:dyDescent="0.2">
      <c r="C461" s="103"/>
      <c r="D461" s="103"/>
      <c r="E461" s="103"/>
      <c r="F461" s="103"/>
      <c r="G461" s="103"/>
      <c r="H461" s="104"/>
      <c r="I461" s="103"/>
      <c r="J461" s="103"/>
      <c r="K461" s="103"/>
      <c r="L461" s="103"/>
      <c r="M461" s="104"/>
      <c r="N461" s="103"/>
      <c r="O461" s="103"/>
      <c r="P461" s="103"/>
      <c r="Q461" s="103"/>
      <c r="R461" s="103"/>
      <c r="S461" s="103"/>
      <c r="T461" s="103"/>
      <c r="U461" s="103"/>
      <c r="V461" s="103"/>
      <c r="W461" s="103"/>
      <c r="X461" s="103"/>
      <c r="Y461" s="103"/>
      <c r="Z461" s="299"/>
      <c r="AA461" s="299"/>
      <c r="AB461" s="299"/>
      <c r="AC461" s="299"/>
      <c r="AD461" s="299"/>
      <c r="AE461" s="299"/>
      <c r="AF461" s="299"/>
    </row>
    <row r="462" spans="3:32" x14ac:dyDescent="0.2">
      <c r="C462" s="103"/>
      <c r="D462" s="103"/>
      <c r="E462" s="103"/>
      <c r="F462" s="103"/>
      <c r="G462" s="103"/>
      <c r="H462" s="104"/>
      <c r="I462" s="103"/>
      <c r="J462" s="103"/>
      <c r="K462" s="103"/>
      <c r="L462" s="103"/>
      <c r="M462" s="104"/>
      <c r="N462" s="103"/>
      <c r="O462" s="103"/>
      <c r="P462" s="103"/>
      <c r="Q462" s="103"/>
      <c r="R462" s="103"/>
      <c r="S462" s="103"/>
      <c r="T462" s="103"/>
      <c r="U462" s="103"/>
      <c r="V462" s="103"/>
      <c r="W462" s="103"/>
      <c r="X462" s="103"/>
      <c r="Y462" s="103"/>
      <c r="Z462" s="299"/>
      <c r="AA462" s="299"/>
      <c r="AB462" s="299"/>
      <c r="AC462" s="299"/>
      <c r="AD462" s="299"/>
      <c r="AE462" s="299"/>
      <c r="AF462" s="299"/>
    </row>
    <row r="463" spans="3:32" x14ac:dyDescent="0.2">
      <c r="C463" s="103"/>
      <c r="D463" s="103"/>
      <c r="E463" s="103"/>
      <c r="F463" s="103"/>
      <c r="G463" s="103"/>
      <c r="H463" s="104"/>
      <c r="I463" s="103"/>
      <c r="J463" s="103"/>
      <c r="K463" s="103"/>
      <c r="L463" s="103"/>
      <c r="M463" s="104"/>
      <c r="N463" s="103"/>
      <c r="O463" s="103"/>
      <c r="P463" s="103"/>
      <c r="Q463" s="103"/>
      <c r="R463" s="103"/>
      <c r="S463" s="103"/>
      <c r="T463" s="103"/>
      <c r="U463" s="103"/>
      <c r="V463" s="103"/>
      <c r="W463" s="103"/>
      <c r="X463" s="103"/>
      <c r="Y463" s="103"/>
      <c r="Z463" s="299"/>
      <c r="AA463" s="299"/>
      <c r="AB463" s="299"/>
      <c r="AC463" s="299"/>
      <c r="AD463" s="299"/>
      <c r="AE463" s="299"/>
      <c r="AF463" s="299"/>
    </row>
    <row r="464" spans="3:32" x14ac:dyDescent="0.2">
      <c r="C464" s="103"/>
      <c r="D464" s="103"/>
      <c r="E464" s="103"/>
      <c r="F464" s="103"/>
      <c r="G464" s="103"/>
      <c r="H464" s="104"/>
      <c r="I464" s="103"/>
      <c r="J464" s="103"/>
      <c r="K464" s="103"/>
      <c r="L464" s="103"/>
      <c r="M464" s="104"/>
      <c r="N464" s="103"/>
      <c r="O464" s="103"/>
      <c r="P464" s="103"/>
      <c r="Q464" s="103"/>
      <c r="R464" s="103"/>
      <c r="S464" s="103"/>
      <c r="T464" s="103"/>
      <c r="U464" s="103"/>
      <c r="V464" s="103"/>
      <c r="W464" s="103"/>
      <c r="X464" s="103"/>
      <c r="Y464" s="103"/>
      <c r="Z464" s="299"/>
      <c r="AA464" s="299"/>
      <c r="AB464" s="299"/>
      <c r="AC464" s="299"/>
      <c r="AD464" s="299"/>
      <c r="AE464" s="299"/>
      <c r="AF464" s="299"/>
    </row>
    <row r="465" spans="3:32" x14ac:dyDescent="0.2">
      <c r="C465" s="103"/>
      <c r="D465" s="103"/>
      <c r="E465" s="103"/>
      <c r="F465" s="103"/>
      <c r="G465" s="103"/>
      <c r="H465" s="104"/>
      <c r="I465" s="103"/>
      <c r="J465" s="103"/>
      <c r="K465" s="103"/>
      <c r="L465" s="103"/>
      <c r="M465" s="104"/>
      <c r="N465" s="103"/>
      <c r="O465" s="103"/>
      <c r="P465" s="103"/>
      <c r="Q465" s="103"/>
      <c r="R465" s="103"/>
      <c r="S465" s="103"/>
      <c r="T465" s="103"/>
      <c r="U465" s="103"/>
      <c r="V465" s="103"/>
      <c r="W465" s="103"/>
      <c r="X465" s="103"/>
      <c r="Y465" s="103"/>
      <c r="Z465" s="299"/>
      <c r="AA465" s="299"/>
      <c r="AB465" s="299"/>
      <c r="AC465" s="299"/>
      <c r="AD465" s="299"/>
      <c r="AE465" s="299"/>
      <c r="AF465" s="299"/>
    </row>
    <row r="466" spans="3:32" x14ac:dyDescent="0.2">
      <c r="C466" s="103"/>
      <c r="D466" s="103"/>
      <c r="E466" s="103"/>
      <c r="F466" s="103"/>
      <c r="G466" s="103"/>
      <c r="H466" s="104"/>
      <c r="I466" s="103"/>
      <c r="J466" s="103"/>
      <c r="K466" s="103"/>
      <c r="L466" s="103"/>
      <c r="M466" s="104"/>
      <c r="N466" s="103"/>
      <c r="O466" s="103"/>
      <c r="P466" s="103"/>
      <c r="Q466" s="103"/>
      <c r="R466" s="103"/>
      <c r="S466" s="103"/>
      <c r="T466" s="103"/>
      <c r="U466" s="103"/>
      <c r="V466" s="103"/>
      <c r="W466" s="103"/>
      <c r="X466" s="103"/>
      <c r="Y466" s="103"/>
      <c r="Z466" s="299"/>
      <c r="AA466" s="299"/>
      <c r="AB466" s="299"/>
      <c r="AC466" s="299"/>
      <c r="AD466" s="299"/>
      <c r="AE466" s="299"/>
      <c r="AF466" s="299"/>
    </row>
    <row r="467" spans="3:32" x14ac:dyDescent="0.2">
      <c r="C467" s="103"/>
      <c r="D467" s="103"/>
      <c r="E467" s="103"/>
      <c r="F467" s="103"/>
      <c r="G467" s="103"/>
      <c r="H467" s="104"/>
      <c r="I467" s="103"/>
      <c r="J467" s="103"/>
      <c r="K467" s="103"/>
      <c r="L467" s="103"/>
      <c r="M467" s="104"/>
      <c r="N467" s="103"/>
      <c r="O467" s="103"/>
      <c r="P467" s="103"/>
      <c r="Q467" s="103"/>
      <c r="R467" s="103"/>
      <c r="S467" s="103"/>
      <c r="T467" s="103"/>
      <c r="U467" s="103"/>
      <c r="V467" s="103"/>
      <c r="W467" s="103"/>
      <c r="X467" s="103"/>
      <c r="Y467" s="103"/>
      <c r="Z467" s="299"/>
      <c r="AA467" s="299"/>
      <c r="AB467" s="299"/>
      <c r="AC467" s="299"/>
      <c r="AD467" s="299"/>
      <c r="AE467" s="299"/>
      <c r="AF467" s="299"/>
    </row>
    <row r="468" spans="3:32" x14ac:dyDescent="0.2">
      <c r="C468" s="103"/>
      <c r="D468" s="103"/>
      <c r="E468" s="103"/>
      <c r="F468" s="103"/>
      <c r="G468" s="103"/>
      <c r="H468" s="104"/>
      <c r="I468" s="103"/>
      <c r="J468" s="103"/>
      <c r="K468" s="103"/>
      <c r="L468" s="103"/>
      <c r="M468" s="104"/>
      <c r="N468" s="103"/>
      <c r="O468" s="103"/>
      <c r="P468" s="103"/>
      <c r="Q468" s="103"/>
      <c r="R468" s="103"/>
      <c r="S468" s="103"/>
      <c r="T468" s="103"/>
      <c r="U468" s="103"/>
      <c r="V468" s="103"/>
      <c r="W468" s="103"/>
      <c r="X468" s="103"/>
      <c r="Y468" s="103"/>
      <c r="Z468" s="299"/>
      <c r="AA468" s="299"/>
      <c r="AB468" s="299"/>
      <c r="AC468" s="299"/>
      <c r="AD468" s="299"/>
      <c r="AE468" s="299"/>
      <c r="AF468" s="299"/>
    </row>
    <row r="469" spans="3:32" x14ac:dyDescent="0.2">
      <c r="C469" s="103"/>
      <c r="D469" s="103"/>
      <c r="E469" s="103"/>
      <c r="F469" s="103"/>
      <c r="G469" s="103"/>
      <c r="H469" s="104"/>
      <c r="I469" s="103"/>
      <c r="J469" s="103"/>
      <c r="K469" s="103"/>
      <c r="L469" s="103"/>
      <c r="M469" s="104"/>
      <c r="N469" s="103"/>
      <c r="O469" s="103"/>
      <c r="P469" s="103"/>
      <c r="Q469" s="103"/>
      <c r="R469" s="103"/>
      <c r="S469" s="103"/>
      <c r="T469" s="103"/>
      <c r="U469" s="103"/>
      <c r="V469" s="103"/>
      <c r="W469" s="103"/>
      <c r="X469" s="103"/>
      <c r="Y469" s="103"/>
      <c r="Z469" s="299"/>
      <c r="AA469" s="299"/>
      <c r="AB469" s="299"/>
      <c r="AC469" s="299"/>
      <c r="AD469" s="299"/>
      <c r="AE469" s="299"/>
      <c r="AF469" s="299"/>
    </row>
    <row r="470" spans="3:32" x14ac:dyDescent="0.2">
      <c r="C470" s="103"/>
      <c r="D470" s="103"/>
      <c r="E470" s="103"/>
      <c r="F470" s="103"/>
      <c r="G470" s="103"/>
      <c r="H470" s="104"/>
      <c r="I470" s="103"/>
      <c r="J470" s="103"/>
      <c r="K470" s="103"/>
      <c r="L470" s="103"/>
      <c r="M470" s="104"/>
      <c r="N470" s="103"/>
      <c r="O470" s="103"/>
      <c r="P470" s="103"/>
      <c r="Q470" s="103"/>
      <c r="R470" s="103"/>
      <c r="S470" s="103"/>
      <c r="T470" s="103"/>
      <c r="U470" s="103"/>
      <c r="V470" s="103"/>
      <c r="W470" s="103"/>
      <c r="X470" s="103"/>
      <c r="Y470" s="103"/>
      <c r="Z470" s="299"/>
      <c r="AA470" s="299"/>
      <c r="AB470" s="299"/>
      <c r="AC470" s="299"/>
      <c r="AD470" s="299"/>
      <c r="AE470" s="299"/>
      <c r="AF470" s="299"/>
    </row>
    <row r="471" spans="3:32" x14ac:dyDescent="0.2">
      <c r="C471" s="103"/>
      <c r="D471" s="103"/>
      <c r="E471" s="103"/>
      <c r="F471" s="103"/>
      <c r="G471" s="103"/>
      <c r="H471" s="104"/>
      <c r="I471" s="103"/>
      <c r="J471" s="103"/>
      <c r="K471" s="103"/>
      <c r="L471" s="103"/>
      <c r="M471" s="104"/>
      <c r="N471" s="103"/>
      <c r="O471" s="103"/>
      <c r="P471" s="103"/>
      <c r="Q471" s="103"/>
      <c r="R471" s="103"/>
      <c r="S471" s="103"/>
      <c r="T471" s="103"/>
      <c r="U471" s="103"/>
      <c r="V471" s="103"/>
      <c r="W471" s="103"/>
      <c r="X471" s="103"/>
      <c r="Y471" s="103"/>
      <c r="Z471" s="299"/>
      <c r="AA471" s="299"/>
      <c r="AB471" s="299"/>
      <c r="AC471" s="299"/>
      <c r="AD471" s="299"/>
      <c r="AE471" s="299"/>
      <c r="AF471" s="299"/>
    </row>
    <row r="472" spans="3:32" x14ac:dyDescent="0.2">
      <c r="C472" s="103"/>
      <c r="D472" s="103"/>
      <c r="E472" s="103"/>
      <c r="F472" s="103"/>
      <c r="G472" s="103"/>
      <c r="H472" s="104"/>
      <c r="I472" s="103"/>
      <c r="J472" s="103"/>
      <c r="K472" s="103"/>
      <c r="L472" s="103"/>
      <c r="M472" s="104"/>
      <c r="N472" s="103"/>
      <c r="O472" s="103"/>
      <c r="P472" s="103"/>
      <c r="Q472" s="103"/>
      <c r="R472" s="103"/>
      <c r="S472" s="103"/>
      <c r="T472" s="103"/>
      <c r="U472" s="103"/>
      <c r="V472" s="103"/>
      <c r="W472" s="103"/>
      <c r="X472" s="103"/>
      <c r="Y472" s="103"/>
      <c r="Z472" s="299"/>
      <c r="AA472" s="299"/>
      <c r="AB472" s="299"/>
      <c r="AC472" s="299"/>
      <c r="AD472" s="299"/>
      <c r="AE472" s="299"/>
      <c r="AF472" s="299"/>
    </row>
    <row r="473" spans="3:32" x14ac:dyDescent="0.2">
      <c r="C473" s="103"/>
      <c r="D473" s="103"/>
      <c r="E473" s="103"/>
      <c r="F473" s="103"/>
      <c r="G473" s="103"/>
      <c r="H473" s="104"/>
      <c r="I473" s="103"/>
      <c r="J473" s="103"/>
      <c r="K473" s="103"/>
      <c r="L473" s="103"/>
      <c r="M473" s="104"/>
      <c r="N473" s="103"/>
      <c r="O473" s="103"/>
      <c r="P473" s="103"/>
      <c r="Q473" s="103"/>
      <c r="R473" s="103"/>
      <c r="S473" s="103"/>
      <c r="T473" s="103"/>
      <c r="U473" s="103"/>
      <c r="V473" s="103"/>
      <c r="W473" s="103"/>
      <c r="X473" s="103"/>
      <c r="Y473" s="103"/>
      <c r="Z473" s="299"/>
      <c r="AA473" s="299"/>
      <c r="AB473" s="299"/>
      <c r="AC473" s="299"/>
      <c r="AD473" s="299"/>
      <c r="AE473" s="299"/>
      <c r="AF473" s="299"/>
    </row>
    <row r="474" spans="3:32" x14ac:dyDescent="0.2">
      <c r="C474" s="103"/>
      <c r="D474" s="103"/>
      <c r="E474" s="103"/>
      <c r="F474" s="103"/>
      <c r="G474" s="103"/>
      <c r="H474" s="104"/>
      <c r="I474" s="103"/>
      <c r="J474" s="103"/>
      <c r="K474" s="103"/>
      <c r="L474" s="103"/>
      <c r="M474" s="104"/>
      <c r="N474" s="103"/>
      <c r="O474" s="103"/>
      <c r="P474" s="103"/>
      <c r="Q474" s="103"/>
      <c r="R474" s="103"/>
      <c r="S474" s="103"/>
      <c r="T474" s="103"/>
      <c r="U474" s="103"/>
      <c r="V474" s="103"/>
      <c r="W474" s="103"/>
      <c r="X474" s="103"/>
      <c r="Y474" s="103"/>
      <c r="Z474" s="299"/>
      <c r="AA474" s="299"/>
      <c r="AB474" s="299"/>
      <c r="AC474" s="299"/>
      <c r="AD474" s="299"/>
      <c r="AE474" s="299"/>
      <c r="AF474" s="299"/>
    </row>
    <row r="475" spans="3:32" x14ac:dyDescent="0.2">
      <c r="C475" s="103"/>
      <c r="D475" s="103"/>
      <c r="E475" s="103"/>
      <c r="F475" s="103"/>
      <c r="G475" s="103"/>
      <c r="H475" s="104"/>
      <c r="I475" s="103"/>
      <c r="J475" s="103"/>
      <c r="K475" s="103"/>
      <c r="L475" s="103"/>
      <c r="M475" s="104"/>
      <c r="N475" s="103"/>
      <c r="O475" s="103"/>
      <c r="P475" s="103"/>
      <c r="Q475" s="103"/>
      <c r="R475" s="103"/>
      <c r="S475" s="103"/>
      <c r="T475" s="103"/>
      <c r="U475" s="103"/>
      <c r="V475" s="103"/>
      <c r="W475" s="103"/>
      <c r="X475" s="103"/>
      <c r="Y475" s="103"/>
      <c r="Z475" s="299"/>
      <c r="AA475" s="299"/>
      <c r="AB475" s="299"/>
      <c r="AC475" s="299"/>
      <c r="AD475" s="299"/>
      <c r="AE475" s="299"/>
      <c r="AF475" s="299"/>
    </row>
    <row r="476" spans="3:32" x14ac:dyDescent="0.2">
      <c r="C476" s="103"/>
      <c r="D476" s="103"/>
      <c r="E476" s="103"/>
      <c r="F476" s="103"/>
      <c r="G476" s="103"/>
      <c r="H476" s="104"/>
      <c r="I476" s="103"/>
      <c r="J476" s="103"/>
      <c r="K476" s="103"/>
      <c r="L476" s="103"/>
      <c r="M476" s="104"/>
      <c r="N476" s="103"/>
      <c r="O476" s="103"/>
      <c r="P476" s="103"/>
      <c r="Q476" s="103"/>
      <c r="R476" s="103"/>
      <c r="S476" s="103"/>
      <c r="T476" s="103"/>
      <c r="U476" s="103"/>
      <c r="V476" s="103"/>
      <c r="W476" s="103"/>
      <c r="X476" s="103"/>
      <c r="Y476" s="103"/>
      <c r="Z476" s="299"/>
      <c r="AA476" s="299"/>
      <c r="AB476" s="299"/>
      <c r="AC476" s="299"/>
      <c r="AD476" s="299"/>
      <c r="AE476" s="299"/>
      <c r="AF476" s="299"/>
    </row>
    <row r="477" spans="3:32" x14ac:dyDescent="0.2">
      <c r="C477" s="103"/>
      <c r="D477" s="103"/>
      <c r="E477" s="103"/>
      <c r="F477" s="103"/>
      <c r="G477" s="103"/>
      <c r="H477" s="104"/>
      <c r="I477" s="103"/>
      <c r="J477" s="103"/>
      <c r="K477" s="103"/>
      <c r="L477" s="103"/>
      <c r="M477" s="104"/>
      <c r="N477" s="103"/>
      <c r="O477" s="103"/>
      <c r="P477" s="103"/>
      <c r="Q477" s="103"/>
      <c r="R477" s="103"/>
      <c r="S477" s="103"/>
      <c r="T477" s="103"/>
      <c r="U477" s="103"/>
      <c r="V477" s="103"/>
      <c r="W477" s="103"/>
      <c r="X477" s="103"/>
      <c r="Y477" s="103"/>
      <c r="Z477" s="299"/>
      <c r="AA477" s="299"/>
      <c r="AB477" s="299"/>
      <c r="AC477" s="299"/>
      <c r="AD477" s="299"/>
      <c r="AE477" s="299"/>
      <c r="AF477" s="299"/>
    </row>
    <row r="478" spans="3:32" x14ac:dyDescent="0.2">
      <c r="C478" s="103"/>
      <c r="D478" s="103"/>
      <c r="E478" s="103"/>
      <c r="F478" s="103"/>
      <c r="G478" s="103"/>
      <c r="H478" s="104"/>
      <c r="I478" s="103"/>
      <c r="J478" s="103"/>
      <c r="K478" s="103"/>
      <c r="L478" s="103"/>
      <c r="M478" s="104"/>
      <c r="N478" s="103"/>
      <c r="O478" s="103"/>
      <c r="P478" s="103"/>
      <c r="Q478" s="103"/>
      <c r="R478" s="103"/>
      <c r="S478" s="103"/>
      <c r="T478" s="103"/>
      <c r="U478" s="103"/>
      <c r="V478" s="103"/>
      <c r="W478" s="103"/>
      <c r="X478" s="103"/>
      <c r="Y478" s="103"/>
      <c r="Z478" s="299"/>
      <c r="AA478" s="299"/>
      <c r="AB478" s="299"/>
      <c r="AC478" s="299"/>
      <c r="AD478" s="299"/>
      <c r="AE478" s="299"/>
      <c r="AF478" s="299"/>
    </row>
    <row r="479" spans="3:32" x14ac:dyDescent="0.2">
      <c r="C479" s="103"/>
      <c r="D479" s="103"/>
      <c r="E479" s="103"/>
      <c r="F479" s="103"/>
      <c r="G479" s="103"/>
      <c r="H479" s="104"/>
      <c r="I479" s="103"/>
      <c r="J479" s="103"/>
      <c r="K479" s="103"/>
      <c r="L479" s="103"/>
      <c r="M479" s="104"/>
      <c r="N479" s="103"/>
      <c r="O479" s="103"/>
      <c r="P479" s="103"/>
      <c r="Q479" s="103"/>
      <c r="R479" s="103"/>
      <c r="S479" s="103"/>
      <c r="T479" s="103"/>
      <c r="U479" s="103"/>
      <c r="V479" s="103"/>
      <c r="W479" s="103"/>
      <c r="X479" s="103"/>
      <c r="Y479" s="103"/>
      <c r="Z479" s="299"/>
      <c r="AA479" s="299"/>
      <c r="AB479" s="299"/>
      <c r="AC479" s="299"/>
      <c r="AD479" s="299"/>
      <c r="AE479" s="299"/>
      <c r="AF479" s="299"/>
    </row>
    <row r="480" spans="3:32" x14ac:dyDescent="0.2">
      <c r="C480" s="103"/>
      <c r="D480" s="103"/>
      <c r="E480" s="103"/>
      <c r="F480" s="103"/>
      <c r="G480" s="103"/>
      <c r="H480" s="104"/>
      <c r="I480" s="103"/>
      <c r="J480" s="103"/>
      <c r="K480" s="103"/>
      <c r="L480" s="103"/>
      <c r="M480" s="104"/>
      <c r="N480" s="103"/>
      <c r="O480" s="103"/>
      <c r="P480" s="103"/>
      <c r="Q480" s="103"/>
      <c r="R480" s="103"/>
      <c r="S480" s="103"/>
      <c r="T480" s="103"/>
      <c r="U480" s="103"/>
      <c r="V480" s="103"/>
      <c r="W480" s="103"/>
      <c r="X480" s="103"/>
      <c r="Y480" s="103"/>
    </row>
    <row r="481" spans="3:25" x14ac:dyDescent="0.2">
      <c r="C481" s="103"/>
      <c r="D481" s="103"/>
      <c r="E481" s="103"/>
      <c r="F481" s="103"/>
      <c r="G481" s="103"/>
      <c r="H481" s="104"/>
      <c r="I481" s="103"/>
      <c r="J481" s="103"/>
      <c r="K481" s="103"/>
      <c r="L481" s="103"/>
      <c r="M481" s="104"/>
      <c r="N481" s="103"/>
      <c r="O481" s="103"/>
      <c r="P481" s="103"/>
      <c r="Q481" s="103"/>
      <c r="R481" s="103"/>
      <c r="S481" s="103"/>
      <c r="T481" s="103"/>
      <c r="U481" s="103"/>
      <c r="V481" s="103"/>
      <c r="W481" s="103"/>
      <c r="X481" s="103"/>
      <c r="Y481" s="103"/>
    </row>
    <row r="482" spans="3:25" x14ac:dyDescent="0.2">
      <c r="C482" s="103"/>
      <c r="D482" s="103"/>
      <c r="E482" s="103"/>
      <c r="F482" s="103"/>
      <c r="G482" s="103"/>
      <c r="H482" s="104"/>
      <c r="I482" s="103"/>
      <c r="J482" s="103"/>
      <c r="K482" s="103"/>
      <c r="L482" s="103"/>
      <c r="M482" s="104"/>
      <c r="N482" s="103"/>
      <c r="O482" s="103"/>
      <c r="P482" s="103"/>
      <c r="Q482" s="103"/>
      <c r="R482" s="103"/>
      <c r="S482" s="103"/>
      <c r="T482" s="103"/>
      <c r="U482" s="103"/>
      <c r="V482" s="103"/>
      <c r="W482" s="103"/>
      <c r="X482" s="103"/>
      <c r="Y482" s="103"/>
    </row>
    <row r="483" spans="3:25" x14ac:dyDescent="0.2">
      <c r="C483" s="103"/>
      <c r="D483" s="103"/>
      <c r="E483" s="103"/>
      <c r="F483" s="103"/>
      <c r="G483" s="103"/>
      <c r="H483" s="104"/>
      <c r="I483" s="103"/>
      <c r="J483" s="103"/>
      <c r="K483" s="103"/>
      <c r="L483" s="103"/>
      <c r="M483" s="104"/>
      <c r="N483" s="103"/>
      <c r="O483" s="103"/>
      <c r="P483" s="103"/>
      <c r="Q483" s="103"/>
      <c r="R483" s="103"/>
      <c r="S483" s="103"/>
      <c r="T483" s="103"/>
      <c r="U483" s="103"/>
      <c r="V483" s="103"/>
      <c r="W483" s="103"/>
      <c r="X483" s="103"/>
      <c r="Y483" s="103"/>
    </row>
    <row r="484" spans="3:25" x14ac:dyDescent="0.2">
      <c r="C484" s="103"/>
      <c r="D484" s="103"/>
      <c r="E484" s="103"/>
      <c r="F484" s="103"/>
      <c r="G484" s="103"/>
      <c r="H484" s="104"/>
      <c r="I484" s="103"/>
      <c r="J484" s="103"/>
      <c r="K484" s="103"/>
      <c r="L484" s="103"/>
      <c r="M484" s="104"/>
      <c r="N484" s="103"/>
      <c r="O484" s="103"/>
      <c r="P484" s="103"/>
      <c r="Q484" s="103"/>
      <c r="R484" s="103"/>
      <c r="S484" s="103"/>
      <c r="T484" s="103"/>
      <c r="U484" s="103"/>
      <c r="V484" s="103"/>
      <c r="W484" s="103"/>
      <c r="X484" s="103"/>
      <c r="Y484" s="103"/>
    </row>
    <row r="485" spans="3:25" x14ac:dyDescent="0.2">
      <c r="C485" s="103"/>
      <c r="D485" s="103"/>
      <c r="E485" s="103"/>
      <c r="F485" s="103"/>
      <c r="G485" s="103"/>
      <c r="H485" s="104"/>
      <c r="I485" s="103"/>
      <c r="J485" s="103"/>
      <c r="K485" s="103"/>
      <c r="L485" s="103"/>
      <c r="M485" s="104"/>
      <c r="N485" s="103"/>
      <c r="O485" s="103"/>
      <c r="P485" s="103"/>
      <c r="Q485" s="103"/>
      <c r="R485" s="103"/>
      <c r="S485" s="103"/>
      <c r="T485" s="103"/>
      <c r="U485" s="103"/>
      <c r="V485" s="103"/>
      <c r="W485" s="103"/>
      <c r="X485" s="103"/>
      <c r="Y485" s="103"/>
    </row>
    <row r="486" spans="3:25" x14ac:dyDescent="0.2">
      <c r="C486" s="103"/>
      <c r="D486" s="103"/>
      <c r="E486" s="103"/>
      <c r="F486" s="103"/>
      <c r="G486" s="103"/>
      <c r="H486" s="104"/>
      <c r="I486" s="103"/>
      <c r="J486" s="103"/>
      <c r="K486" s="103"/>
      <c r="L486" s="103"/>
      <c r="M486" s="104"/>
      <c r="N486" s="103"/>
      <c r="O486" s="103"/>
      <c r="P486" s="103"/>
      <c r="Q486" s="103"/>
      <c r="R486" s="103"/>
      <c r="S486" s="103"/>
      <c r="T486" s="103"/>
      <c r="U486" s="103"/>
      <c r="V486" s="103"/>
      <c r="W486" s="103"/>
      <c r="X486" s="103"/>
      <c r="Y486" s="103"/>
    </row>
    <row r="487" spans="3:25" x14ac:dyDescent="0.2">
      <c r="C487" s="103"/>
      <c r="D487" s="103"/>
      <c r="E487" s="103"/>
      <c r="F487" s="103"/>
      <c r="G487" s="103"/>
      <c r="H487" s="104"/>
      <c r="I487" s="103"/>
      <c r="J487" s="103"/>
      <c r="K487" s="103"/>
      <c r="L487" s="103"/>
      <c r="M487" s="104"/>
      <c r="N487" s="103"/>
      <c r="O487" s="103"/>
      <c r="P487" s="103"/>
      <c r="Q487" s="103"/>
      <c r="R487" s="103"/>
      <c r="S487" s="103"/>
      <c r="T487" s="103"/>
      <c r="U487" s="103"/>
      <c r="V487" s="103"/>
      <c r="W487" s="103"/>
      <c r="X487" s="103"/>
      <c r="Y487" s="103"/>
    </row>
    <row r="488" spans="3:25" x14ac:dyDescent="0.2">
      <c r="C488" s="103"/>
      <c r="D488" s="103"/>
      <c r="E488" s="103"/>
      <c r="F488" s="103"/>
      <c r="G488" s="103"/>
      <c r="H488" s="104"/>
      <c r="I488" s="103"/>
      <c r="J488" s="103"/>
      <c r="K488" s="103"/>
      <c r="L488" s="103"/>
      <c r="M488" s="104"/>
      <c r="N488" s="103"/>
      <c r="O488" s="103"/>
      <c r="P488" s="103"/>
      <c r="Q488" s="103"/>
      <c r="R488" s="103"/>
      <c r="S488" s="103"/>
      <c r="T488" s="103"/>
      <c r="U488" s="103"/>
      <c r="V488" s="103"/>
      <c r="W488" s="103"/>
      <c r="X488" s="103"/>
      <c r="Y488" s="103"/>
    </row>
    <row r="489" spans="3:25" x14ac:dyDescent="0.2">
      <c r="C489" s="103"/>
      <c r="D489" s="103"/>
      <c r="E489" s="103"/>
      <c r="F489" s="103"/>
      <c r="G489" s="103"/>
      <c r="H489" s="104"/>
      <c r="I489" s="103"/>
      <c r="J489" s="103"/>
      <c r="K489" s="103"/>
      <c r="L489" s="103"/>
      <c r="M489" s="104"/>
      <c r="N489" s="103"/>
      <c r="O489" s="103"/>
      <c r="P489" s="103"/>
      <c r="Q489" s="103"/>
      <c r="R489" s="103"/>
      <c r="S489" s="103"/>
      <c r="T489" s="103"/>
      <c r="U489" s="103"/>
      <c r="V489" s="103"/>
      <c r="W489" s="103"/>
      <c r="X489" s="103"/>
      <c r="Y489" s="103"/>
    </row>
    <row r="490" spans="3:25" x14ac:dyDescent="0.2">
      <c r="C490" s="103"/>
      <c r="D490" s="103"/>
      <c r="E490" s="103"/>
      <c r="F490" s="103"/>
      <c r="G490" s="103"/>
      <c r="H490" s="104"/>
      <c r="I490" s="103"/>
      <c r="J490" s="103"/>
      <c r="K490" s="103"/>
      <c r="L490" s="103"/>
      <c r="M490" s="104"/>
      <c r="N490" s="103"/>
      <c r="O490" s="103"/>
      <c r="P490" s="103"/>
      <c r="Q490" s="103"/>
      <c r="R490" s="103"/>
      <c r="S490" s="103"/>
      <c r="T490" s="103"/>
      <c r="U490" s="103"/>
      <c r="V490" s="103"/>
      <c r="W490" s="103"/>
      <c r="X490" s="103"/>
      <c r="Y490" s="103"/>
    </row>
    <row r="491" spans="3:25" x14ac:dyDescent="0.2">
      <c r="C491" s="103"/>
      <c r="D491" s="103"/>
      <c r="E491" s="103"/>
      <c r="F491" s="103"/>
      <c r="G491" s="103"/>
      <c r="H491" s="104"/>
      <c r="I491" s="103"/>
      <c r="J491" s="103"/>
      <c r="K491" s="103"/>
      <c r="L491" s="103"/>
      <c r="M491" s="104"/>
      <c r="N491" s="103"/>
      <c r="O491" s="103"/>
      <c r="P491" s="103"/>
      <c r="Q491" s="103"/>
      <c r="R491" s="103"/>
      <c r="S491" s="103"/>
      <c r="T491" s="103"/>
      <c r="U491" s="103"/>
      <c r="V491" s="103"/>
      <c r="W491" s="103"/>
      <c r="X491" s="103"/>
      <c r="Y491" s="103"/>
    </row>
    <row r="492" spans="3:25" x14ac:dyDescent="0.2">
      <c r="C492" s="103"/>
      <c r="D492" s="103"/>
      <c r="E492" s="103"/>
      <c r="F492" s="103"/>
      <c r="G492" s="103"/>
      <c r="H492" s="104"/>
      <c r="I492" s="103"/>
      <c r="J492" s="103"/>
      <c r="K492" s="103"/>
      <c r="L492" s="103"/>
      <c r="M492" s="104"/>
      <c r="N492" s="103"/>
      <c r="O492" s="103"/>
      <c r="P492" s="103"/>
      <c r="Q492" s="103"/>
      <c r="R492" s="103"/>
      <c r="S492" s="103"/>
      <c r="T492" s="103"/>
      <c r="U492" s="103"/>
      <c r="V492" s="103"/>
      <c r="W492" s="103"/>
      <c r="X492" s="103"/>
      <c r="Y492" s="103"/>
    </row>
    <row r="493" spans="3:25" x14ac:dyDescent="0.2">
      <c r="C493" s="103"/>
      <c r="D493" s="103"/>
      <c r="E493" s="103"/>
      <c r="F493" s="103"/>
      <c r="G493" s="103"/>
      <c r="H493" s="104"/>
      <c r="I493" s="103"/>
      <c r="J493" s="103"/>
      <c r="K493" s="103"/>
      <c r="L493" s="103"/>
      <c r="M493" s="104"/>
      <c r="N493" s="103"/>
      <c r="O493" s="103"/>
      <c r="P493" s="103"/>
      <c r="Q493" s="103"/>
      <c r="R493" s="103"/>
      <c r="S493" s="103"/>
      <c r="T493" s="103"/>
      <c r="U493" s="103"/>
      <c r="V493" s="103"/>
      <c r="W493" s="103"/>
      <c r="X493" s="103"/>
      <c r="Y493" s="103"/>
    </row>
    <row r="494" spans="3:25" x14ac:dyDescent="0.2">
      <c r="C494" s="103"/>
      <c r="D494" s="103"/>
      <c r="E494" s="103"/>
      <c r="F494" s="103"/>
      <c r="G494" s="103"/>
      <c r="H494" s="104"/>
      <c r="I494" s="103"/>
      <c r="J494" s="103"/>
      <c r="K494" s="103"/>
      <c r="L494" s="103"/>
      <c r="M494" s="104"/>
      <c r="N494" s="103"/>
      <c r="O494" s="103"/>
      <c r="P494" s="103"/>
      <c r="Q494" s="103"/>
      <c r="R494" s="103"/>
      <c r="S494" s="103"/>
      <c r="T494" s="103"/>
      <c r="U494" s="103"/>
      <c r="V494" s="103"/>
      <c r="W494" s="103"/>
      <c r="X494" s="103"/>
      <c r="Y494" s="103"/>
    </row>
    <row r="495" spans="3:25" x14ac:dyDescent="0.2">
      <c r="C495" s="103"/>
      <c r="D495" s="103"/>
      <c r="E495" s="103"/>
      <c r="F495" s="103"/>
      <c r="G495" s="103"/>
      <c r="H495" s="104"/>
      <c r="I495" s="103"/>
      <c r="J495" s="103"/>
      <c r="K495" s="103"/>
      <c r="L495" s="103"/>
      <c r="M495" s="104"/>
      <c r="N495" s="103"/>
      <c r="O495" s="103"/>
      <c r="P495" s="103"/>
      <c r="Q495" s="103"/>
      <c r="R495" s="103"/>
      <c r="S495" s="103"/>
      <c r="T495" s="103"/>
      <c r="U495" s="103"/>
      <c r="V495" s="103"/>
      <c r="W495" s="103"/>
      <c r="X495" s="103"/>
      <c r="Y495" s="103"/>
    </row>
    <row r="496" spans="3:25" x14ac:dyDescent="0.2">
      <c r="C496" s="103"/>
      <c r="D496" s="103"/>
      <c r="E496" s="103"/>
      <c r="F496" s="103"/>
      <c r="G496" s="103"/>
      <c r="H496" s="104"/>
      <c r="I496" s="103"/>
      <c r="J496" s="103"/>
      <c r="K496" s="103"/>
      <c r="L496" s="103"/>
      <c r="M496" s="104"/>
      <c r="N496" s="103"/>
      <c r="O496" s="103"/>
      <c r="P496" s="103"/>
      <c r="Q496" s="103"/>
      <c r="R496" s="103"/>
      <c r="S496" s="103"/>
      <c r="T496" s="103"/>
      <c r="U496" s="103"/>
      <c r="V496" s="103"/>
      <c r="W496" s="103"/>
      <c r="X496" s="103"/>
      <c r="Y496" s="103"/>
    </row>
    <row r="497" spans="3:25" x14ac:dyDescent="0.2">
      <c r="C497" s="103"/>
      <c r="D497" s="103"/>
      <c r="E497" s="103"/>
      <c r="F497" s="103"/>
      <c r="G497" s="103"/>
      <c r="H497" s="104"/>
      <c r="I497" s="103"/>
      <c r="J497" s="103"/>
      <c r="K497" s="103"/>
      <c r="L497" s="103"/>
      <c r="M497" s="104"/>
      <c r="N497" s="103"/>
      <c r="O497" s="103"/>
      <c r="P497" s="103"/>
      <c r="Q497" s="103"/>
      <c r="R497" s="103"/>
      <c r="S497" s="103"/>
      <c r="T497" s="103"/>
      <c r="U497" s="103"/>
      <c r="V497" s="103"/>
      <c r="W497" s="103"/>
      <c r="X497" s="103"/>
      <c r="Y497" s="103"/>
    </row>
    <row r="498" spans="3:25" x14ac:dyDescent="0.2">
      <c r="C498" s="103"/>
      <c r="D498" s="103"/>
      <c r="E498" s="103"/>
      <c r="F498" s="103"/>
      <c r="G498" s="103"/>
      <c r="H498" s="104"/>
      <c r="I498" s="103"/>
      <c r="J498" s="103"/>
      <c r="K498" s="103"/>
      <c r="L498" s="103"/>
      <c r="M498" s="104"/>
      <c r="N498" s="103"/>
      <c r="O498" s="103"/>
      <c r="P498" s="103"/>
      <c r="Q498" s="103"/>
      <c r="R498" s="103"/>
      <c r="S498" s="103"/>
      <c r="T498" s="103"/>
      <c r="U498" s="103"/>
      <c r="V498" s="103"/>
      <c r="W498" s="103"/>
      <c r="X498" s="103"/>
      <c r="Y498" s="103"/>
    </row>
    <row r="499" spans="3:25" x14ac:dyDescent="0.2">
      <c r="C499" s="103"/>
      <c r="D499" s="103"/>
      <c r="E499" s="103"/>
      <c r="F499" s="103"/>
      <c r="G499" s="103"/>
      <c r="H499" s="104"/>
      <c r="I499" s="103"/>
      <c r="J499" s="103"/>
      <c r="K499" s="103"/>
      <c r="L499" s="103"/>
      <c r="M499" s="104"/>
      <c r="N499" s="103"/>
      <c r="O499" s="103"/>
      <c r="P499" s="103"/>
      <c r="Q499" s="103"/>
      <c r="R499" s="103"/>
      <c r="S499" s="103"/>
      <c r="T499" s="103"/>
      <c r="U499" s="103"/>
      <c r="V499" s="103"/>
      <c r="W499" s="103"/>
      <c r="X499" s="103"/>
      <c r="Y499" s="103"/>
    </row>
    <row r="500" spans="3:25" x14ac:dyDescent="0.2">
      <c r="C500" s="103"/>
      <c r="D500" s="103"/>
      <c r="E500" s="103"/>
      <c r="F500" s="103"/>
      <c r="G500" s="103"/>
      <c r="H500" s="104"/>
      <c r="I500" s="103"/>
      <c r="J500" s="103"/>
      <c r="K500" s="103"/>
      <c r="L500" s="103"/>
      <c r="M500" s="104"/>
      <c r="N500" s="103"/>
      <c r="O500" s="103"/>
      <c r="P500" s="103"/>
      <c r="Q500" s="103"/>
      <c r="R500" s="103"/>
      <c r="S500" s="103"/>
      <c r="T500" s="103"/>
      <c r="U500" s="103"/>
      <c r="V500" s="103"/>
      <c r="W500" s="103"/>
      <c r="X500" s="103"/>
      <c r="Y500" s="103"/>
    </row>
    <row r="501" spans="3:25" x14ac:dyDescent="0.2">
      <c r="C501" s="103"/>
      <c r="D501" s="103"/>
      <c r="E501" s="103"/>
      <c r="F501" s="103"/>
      <c r="G501" s="103"/>
      <c r="H501" s="104"/>
      <c r="I501" s="103"/>
      <c r="J501" s="103"/>
      <c r="K501" s="103"/>
      <c r="L501" s="103"/>
      <c r="M501" s="104"/>
      <c r="N501" s="103"/>
      <c r="O501" s="103"/>
      <c r="P501" s="103"/>
      <c r="Q501" s="103"/>
      <c r="R501" s="103"/>
      <c r="S501" s="103"/>
      <c r="T501" s="103"/>
      <c r="U501" s="103"/>
      <c r="V501" s="103"/>
      <c r="W501" s="103"/>
      <c r="X501" s="103"/>
      <c r="Y501" s="103"/>
    </row>
    <row r="502" spans="3:25" x14ac:dyDescent="0.2">
      <c r="C502" s="103"/>
      <c r="D502" s="103"/>
      <c r="E502" s="103"/>
      <c r="F502" s="103"/>
      <c r="G502" s="103"/>
      <c r="H502" s="104"/>
      <c r="I502" s="103"/>
      <c r="J502" s="103"/>
      <c r="K502" s="103"/>
      <c r="L502" s="103"/>
      <c r="M502" s="104"/>
      <c r="N502" s="103"/>
      <c r="O502" s="103"/>
      <c r="P502" s="103"/>
      <c r="Q502" s="103"/>
      <c r="R502" s="103"/>
      <c r="S502" s="103"/>
      <c r="T502" s="103"/>
      <c r="U502" s="103"/>
      <c r="V502" s="103"/>
      <c r="W502" s="103"/>
      <c r="X502" s="103"/>
      <c r="Y502" s="103"/>
    </row>
    <row r="503" spans="3:25" x14ac:dyDescent="0.2">
      <c r="C503" s="103"/>
      <c r="D503" s="103"/>
      <c r="E503" s="103"/>
      <c r="F503" s="103"/>
      <c r="G503" s="103"/>
      <c r="H503" s="104"/>
      <c r="I503" s="103"/>
      <c r="J503" s="103"/>
      <c r="K503" s="103"/>
      <c r="L503" s="103"/>
      <c r="M503" s="104"/>
      <c r="N503" s="103"/>
      <c r="O503" s="103"/>
      <c r="P503" s="103"/>
      <c r="Q503" s="103"/>
      <c r="R503" s="103"/>
      <c r="S503" s="103"/>
      <c r="T503" s="103"/>
      <c r="U503" s="103"/>
      <c r="V503" s="103"/>
      <c r="W503" s="103"/>
      <c r="X503" s="103"/>
      <c r="Y503" s="103"/>
    </row>
    <row r="504" spans="3:25" x14ac:dyDescent="0.2">
      <c r="C504" s="103"/>
      <c r="D504" s="103"/>
      <c r="E504" s="103"/>
      <c r="F504" s="103"/>
      <c r="G504" s="103"/>
      <c r="H504" s="104"/>
      <c r="I504" s="103"/>
      <c r="J504" s="103"/>
      <c r="K504" s="103"/>
      <c r="L504" s="103"/>
      <c r="M504" s="104"/>
      <c r="N504" s="103"/>
      <c r="O504" s="103"/>
      <c r="P504" s="103"/>
      <c r="Q504" s="103"/>
      <c r="R504" s="103"/>
      <c r="S504" s="103"/>
      <c r="T504" s="103"/>
      <c r="U504" s="103"/>
      <c r="V504" s="103"/>
      <c r="W504" s="103"/>
      <c r="X504" s="103"/>
      <c r="Y504" s="103"/>
    </row>
    <row r="505" spans="3:25" x14ac:dyDescent="0.2">
      <c r="C505" s="103"/>
      <c r="D505" s="103"/>
      <c r="E505" s="103"/>
      <c r="F505" s="103"/>
      <c r="G505" s="103"/>
      <c r="H505" s="104"/>
      <c r="I505" s="103"/>
      <c r="J505" s="103"/>
      <c r="K505" s="103"/>
      <c r="L505" s="103"/>
      <c r="M505" s="104"/>
      <c r="N505" s="103"/>
      <c r="O505" s="103"/>
      <c r="P505" s="103"/>
      <c r="Q505" s="103"/>
      <c r="R505" s="103"/>
      <c r="S505" s="103"/>
      <c r="T505" s="103"/>
      <c r="U505" s="103"/>
      <c r="V505" s="103"/>
      <c r="W505" s="103"/>
      <c r="X505" s="103"/>
      <c r="Y505" s="103"/>
    </row>
    <row r="506" spans="3:25" x14ac:dyDescent="0.2">
      <c r="C506" s="103"/>
      <c r="D506" s="103"/>
      <c r="E506" s="103"/>
      <c r="F506" s="103"/>
      <c r="G506" s="103"/>
      <c r="H506" s="104"/>
      <c r="I506" s="103"/>
      <c r="J506" s="103"/>
      <c r="K506" s="103"/>
      <c r="L506" s="103"/>
      <c r="M506" s="104"/>
      <c r="N506" s="103"/>
      <c r="O506" s="103"/>
      <c r="P506" s="103"/>
      <c r="Q506" s="103"/>
      <c r="R506" s="103"/>
      <c r="S506" s="103"/>
      <c r="T506" s="103"/>
      <c r="U506" s="103"/>
      <c r="V506" s="103"/>
      <c r="W506" s="103"/>
      <c r="X506" s="103"/>
      <c r="Y506" s="103"/>
    </row>
    <row r="507" spans="3:25" x14ac:dyDescent="0.2">
      <c r="C507" s="103"/>
      <c r="D507" s="103"/>
      <c r="E507" s="103"/>
      <c r="F507" s="103"/>
      <c r="G507" s="103"/>
      <c r="H507" s="104"/>
      <c r="I507" s="103"/>
      <c r="J507" s="103"/>
      <c r="K507" s="103"/>
      <c r="L507" s="103"/>
      <c r="M507" s="104"/>
      <c r="N507" s="103"/>
      <c r="O507" s="103"/>
      <c r="P507" s="103"/>
      <c r="Q507" s="103"/>
      <c r="R507" s="103"/>
      <c r="S507" s="103"/>
      <c r="T507" s="103"/>
      <c r="U507" s="103"/>
      <c r="V507" s="103"/>
      <c r="W507" s="103"/>
      <c r="X507" s="103"/>
      <c r="Y507" s="103"/>
    </row>
    <row r="508" spans="3:25" x14ac:dyDescent="0.2">
      <c r="C508" s="103"/>
      <c r="D508" s="103"/>
      <c r="E508" s="103"/>
      <c r="F508" s="103"/>
      <c r="G508" s="103"/>
      <c r="H508" s="104"/>
      <c r="I508" s="103"/>
      <c r="J508" s="103"/>
      <c r="K508" s="103"/>
      <c r="L508" s="103"/>
      <c r="M508" s="104"/>
      <c r="N508" s="103"/>
      <c r="O508" s="103"/>
      <c r="P508" s="103"/>
      <c r="Q508" s="103"/>
      <c r="R508" s="103"/>
      <c r="S508" s="103"/>
      <c r="T508" s="103"/>
      <c r="U508" s="103"/>
      <c r="V508" s="103"/>
      <c r="W508" s="103"/>
      <c r="X508" s="103"/>
      <c r="Y508" s="103"/>
    </row>
    <row r="509" spans="3:25" x14ac:dyDescent="0.2">
      <c r="C509" s="103"/>
      <c r="D509" s="103"/>
      <c r="E509" s="103"/>
      <c r="F509" s="103"/>
      <c r="G509" s="103"/>
      <c r="H509" s="104"/>
      <c r="I509" s="103"/>
      <c r="J509" s="103"/>
      <c r="K509" s="103"/>
      <c r="L509" s="103"/>
      <c r="M509" s="104"/>
      <c r="N509" s="103"/>
      <c r="O509" s="103"/>
      <c r="P509" s="103"/>
      <c r="Q509" s="103"/>
      <c r="R509" s="103"/>
      <c r="S509" s="103"/>
      <c r="T509" s="103"/>
      <c r="U509" s="103"/>
      <c r="V509" s="103"/>
      <c r="W509" s="103"/>
      <c r="X509" s="103"/>
      <c r="Y509" s="103"/>
    </row>
    <row r="510" spans="3:25" x14ac:dyDescent="0.2">
      <c r="C510" s="103"/>
      <c r="D510" s="103"/>
      <c r="E510" s="103"/>
      <c r="F510" s="103"/>
      <c r="G510" s="103"/>
      <c r="H510" s="104"/>
      <c r="I510" s="103"/>
      <c r="J510" s="103"/>
      <c r="K510" s="103"/>
      <c r="L510" s="103"/>
      <c r="M510" s="104"/>
      <c r="N510" s="103"/>
      <c r="O510" s="103"/>
      <c r="P510" s="103"/>
      <c r="Q510" s="103"/>
      <c r="R510" s="103"/>
      <c r="S510" s="103"/>
      <c r="T510" s="103"/>
      <c r="U510" s="103"/>
      <c r="V510" s="103"/>
      <c r="W510" s="103"/>
      <c r="X510" s="103"/>
      <c r="Y510" s="103"/>
    </row>
    <row r="511" spans="3:25" x14ac:dyDescent="0.2">
      <c r="C511" s="103"/>
      <c r="D511" s="103"/>
      <c r="E511" s="103"/>
      <c r="F511" s="103"/>
      <c r="G511" s="103"/>
      <c r="H511" s="104"/>
      <c r="I511" s="103"/>
      <c r="J511" s="103"/>
      <c r="K511" s="103"/>
      <c r="L511" s="103"/>
      <c r="M511" s="104"/>
      <c r="N511" s="103"/>
      <c r="O511" s="103"/>
      <c r="P511" s="103"/>
      <c r="Q511" s="103"/>
      <c r="R511" s="103"/>
      <c r="S511" s="103"/>
      <c r="T511" s="103"/>
      <c r="U511" s="103"/>
      <c r="V511" s="103"/>
      <c r="W511" s="103"/>
      <c r="X511" s="103"/>
      <c r="Y511" s="103"/>
    </row>
    <row r="512" spans="3:25" x14ac:dyDescent="0.2">
      <c r="C512" s="103"/>
      <c r="D512" s="103"/>
      <c r="E512" s="103"/>
      <c r="F512" s="103"/>
      <c r="G512" s="103"/>
      <c r="H512" s="104"/>
      <c r="I512" s="103"/>
      <c r="J512" s="103"/>
      <c r="K512" s="103"/>
      <c r="L512" s="103"/>
      <c r="M512" s="104"/>
      <c r="N512" s="103"/>
      <c r="O512" s="103"/>
      <c r="P512" s="103"/>
      <c r="Q512" s="103"/>
      <c r="R512" s="103"/>
      <c r="S512" s="103"/>
      <c r="T512" s="103"/>
      <c r="U512" s="103"/>
      <c r="V512" s="103"/>
      <c r="W512" s="103"/>
      <c r="X512" s="103"/>
      <c r="Y512" s="103"/>
    </row>
    <row r="513" spans="3:25" x14ac:dyDescent="0.2">
      <c r="C513" s="103"/>
      <c r="D513" s="103"/>
      <c r="E513" s="103"/>
      <c r="F513" s="103"/>
      <c r="G513" s="103"/>
      <c r="H513" s="104"/>
      <c r="I513" s="103"/>
      <c r="J513" s="103"/>
      <c r="K513" s="103"/>
      <c r="L513" s="103"/>
      <c r="M513" s="104"/>
      <c r="N513" s="103"/>
      <c r="O513" s="103"/>
      <c r="P513" s="103"/>
      <c r="Q513" s="103"/>
      <c r="R513" s="103"/>
      <c r="S513" s="103"/>
      <c r="T513" s="103"/>
      <c r="U513" s="103"/>
      <c r="V513" s="103"/>
      <c r="W513" s="103"/>
      <c r="X513" s="103"/>
      <c r="Y513" s="103"/>
    </row>
    <row r="514" spans="3:25" x14ac:dyDescent="0.2">
      <c r="C514" s="103"/>
      <c r="D514" s="103"/>
      <c r="E514" s="103"/>
      <c r="F514" s="103"/>
      <c r="G514" s="103"/>
      <c r="H514" s="104"/>
      <c r="I514" s="103"/>
      <c r="J514" s="103"/>
      <c r="K514" s="103"/>
      <c r="L514" s="103"/>
      <c r="M514" s="104"/>
      <c r="N514" s="103"/>
      <c r="O514" s="103"/>
      <c r="P514" s="103"/>
      <c r="Q514" s="103"/>
      <c r="R514" s="103"/>
      <c r="S514" s="103"/>
      <c r="T514" s="103"/>
      <c r="U514" s="103"/>
      <c r="V514" s="103"/>
      <c r="W514" s="103"/>
      <c r="X514" s="103"/>
      <c r="Y514" s="103"/>
    </row>
    <row r="515" spans="3:25" x14ac:dyDescent="0.2">
      <c r="C515" s="103"/>
      <c r="D515" s="103"/>
      <c r="E515" s="103"/>
      <c r="F515" s="103"/>
      <c r="G515" s="103"/>
      <c r="H515" s="104"/>
      <c r="I515" s="103"/>
      <c r="J515" s="103"/>
      <c r="K515" s="103"/>
      <c r="L515" s="103"/>
      <c r="M515" s="104"/>
      <c r="N515" s="103"/>
      <c r="O515" s="103"/>
      <c r="P515" s="103"/>
      <c r="Q515" s="103"/>
      <c r="R515" s="103"/>
      <c r="S515" s="103"/>
      <c r="T515" s="103"/>
      <c r="U515" s="103"/>
      <c r="V515" s="103"/>
      <c r="W515" s="103"/>
      <c r="X515" s="103"/>
      <c r="Y515" s="103"/>
    </row>
    <row r="516" spans="3:25" x14ac:dyDescent="0.2">
      <c r="C516" s="103"/>
      <c r="D516" s="103"/>
      <c r="E516" s="103"/>
      <c r="F516" s="103"/>
      <c r="G516" s="103"/>
      <c r="H516" s="104"/>
      <c r="I516" s="103"/>
      <c r="J516" s="103"/>
      <c r="K516" s="103"/>
      <c r="L516" s="103"/>
      <c r="M516" s="104"/>
      <c r="N516" s="103"/>
      <c r="O516" s="103"/>
      <c r="P516" s="103"/>
      <c r="Q516" s="103"/>
      <c r="R516" s="103"/>
      <c r="S516" s="103"/>
      <c r="T516" s="103"/>
      <c r="U516" s="103"/>
      <c r="V516" s="103"/>
      <c r="W516" s="103"/>
      <c r="X516" s="103"/>
      <c r="Y516" s="103"/>
    </row>
    <row r="517" spans="3:25" x14ac:dyDescent="0.2">
      <c r="C517" s="103"/>
      <c r="D517" s="103"/>
      <c r="E517" s="103"/>
      <c r="F517" s="103"/>
      <c r="G517" s="103"/>
      <c r="H517" s="104"/>
      <c r="I517" s="103"/>
      <c r="J517" s="103"/>
      <c r="K517" s="103"/>
      <c r="L517" s="103"/>
      <c r="M517" s="104"/>
      <c r="N517" s="103"/>
      <c r="O517" s="103"/>
      <c r="P517" s="103"/>
      <c r="Q517" s="103"/>
      <c r="R517" s="103"/>
      <c r="S517" s="103"/>
      <c r="T517" s="103"/>
      <c r="U517" s="103"/>
      <c r="V517" s="103"/>
      <c r="W517" s="103"/>
      <c r="X517" s="103"/>
      <c r="Y517" s="103"/>
    </row>
    <row r="518" spans="3:25" x14ac:dyDescent="0.2">
      <c r="C518" s="103"/>
      <c r="D518" s="103"/>
      <c r="E518" s="103"/>
      <c r="F518" s="103"/>
      <c r="G518" s="103"/>
      <c r="H518" s="104"/>
      <c r="I518" s="103"/>
      <c r="J518" s="103"/>
      <c r="K518" s="103"/>
      <c r="L518" s="103"/>
      <c r="M518" s="104"/>
      <c r="N518" s="103"/>
      <c r="O518" s="103"/>
      <c r="P518" s="103"/>
      <c r="Q518" s="103"/>
      <c r="R518" s="103"/>
      <c r="S518" s="103"/>
      <c r="T518" s="103"/>
      <c r="U518" s="103"/>
      <c r="V518" s="103"/>
      <c r="W518" s="103"/>
      <c r="X518" s="103"/>
      <c r="Y518" s="103"/>
    </row>
    <row r="519" spans="3:25" x14ac:dyDescent="0.2">
      <c r="C519" s="103"/>
      <c r="D519" s="103"/>
      <c r="E519" s="103"/>
      <c r="F519" s="103"/>
      <c r="G519" s="103"/>
      <c r="H519" s="104"/>
      <c r="I519" s="103"/>
      <c r="J519" s="103"/>
      <c r="K519" s="103"/>
      <c r="L519" s="103"/>
      <c r="M519" s="104"/>
      <c r="N519" s="103"/>
      <c r="O519" s="103"/>
      <c r="P519" s="103"/>
      <c r="Q519" s="103"/>
      <c r="R519" s="103"/>
      <c r="S519" s="103"/>
      <c r="T519" s="103"/>
      <c r="U519" s="103"/>
      <c r="V519" s="103"/>
      <c r="W519" s="103"/>
      <c r="X519" s="103"/>
      <c r="Y519" s="103"/>
    </row>
    <row r="520" spans="3:25" x14ac:dyDescent="0.2">
      <c r="C520" s="103"/>
      <c r="D520" s="103"/>
      <c r="E520" s="103"/>
      <c r="F520" s="103"/>
      <c r="G520" s="103"/>
      <c r="H520" s="104"/>
      <c r="I520" s="103"/>
      <c r="J520" s="103"/>
      <c r="K520" s="103"/>
      <c r="L520" s="103"/>
      <c r="M520" s="104"/>
      <c r="N520" s="103"/>
      <c r="O520" s="103"/>
      <c r="P520" s="103"/>
      <c r="Q520" s="103"/>
      <c r="R520" s="103"/>
      <c r="S520" s="103"/>
      <c r="T520" s="103"/>
      <c r="U520" s="103"/>
      <c r="V520" s="103"/>
      <c r="W520" s="103"/>
      <c r="X520" s="103"/>
      <c r="Y520" s="103"/>
    </row>
    <row r="521" spans="3:25" x14ac:dyDescent="0.2">
      <c r="C521" s="103"/>
      <c r="D521" s="103"/>
      <c r="E521" s="103"/>
      <c r="F521" s="103"/>
      <c r="G521" s="103"/>
      <c r="H521" s="104"/>
      <c r="I521" s="103"/>
      <c r="J521" s="103"/>
      <c r="K521" s="103"/>
      <c r="L521" s="103"/>
      <c r="M521" s="104"/>
      <c r="N521" s="103"/>
      <c r="O521" s="103"/>
      <c r="P521" s="103"/>
      <c r="Q521" s="103"/>
      <c r="R521" s="103"/>
      <c r="S521" s="103"/>
      <c r="T521" s="103"/>
      <c r="U521" s="103"/>
      <c r="V521" s="103"/>
      <c r="W521" s="103"/>
      <c r="X521" s="103"/>
      <c r="Y521" s="103"/>
    </row>
    <row r="522" spans="3:25" x14ac:dyDescent="0.2">
      <c r="C522" s="103"/>
      <c r="D522" s="103"/>
      <c r="E522" s="103"/>
      <c r="F522" s="103"/>
      <c r="G522" s="103"/>
      <c r="H522" s="104"/>
      <c r="I522" s="103"/>
      <c r="J522" s="103"/>
      <c r="K522" s="103"/>
      <c r="L522" s="103"/>
      <c r="M522" s="104"/>
      <c r="N522" s="103"/>
      <c r="O522" s="103"/>
      <c r="P522" s="103"/>
      <c r="Q522" s="103"/>
      <c r="R522" s="103"/>
      <c r="S522" s="103"/>
      <c r="T522" s="103"/>
      <c r="U522" s="103"/>
      <c r="V522" s="103"/>
      <c r="W522" s="103"/>
      <c r="X522" s="103"/>
      <c r="Y522" s="103"/>
    </row>
    <row r="523" spans="3:25" x14ac:dyDescent="0.2">
      <c r="C523" s="103"/>
      <c r="D523" s="103"/>
      <c r="E523" s="103"/>
      <c r="F523" s="103"/>
      <c r="G523" s="103"/>
      <c r="H523" s="104"/>
      <c r="I523" s="103"/>
      <c r="J523" s="103"/>
      <c r="K523" s="103"/>
      <c r="L523" s="103"/>
      <c r="M523" s="104"/>
      <c r="N523" s="103"/>
      <c r="O523" s="103"/>
      <c r="P523" s="103"/>
      <c r="Q523" s="103"/>
      <c r="R523" s="103"/>
      <c r="S523" s="103"/>
      <c r="T523" s="103"/>
      <c r="U523" s="103"/>
      <c r="V523" s="103"/>
      <c r="W523" s="103"/>
      <c r="X523" s="103"/>
      <c r="Y523" s="103"/>
    </row>
    <row r="524" spans="3:25" x14ac:dyDescent="0.2">
      <c r="C524" s="103"/>
      <c r="D524" s="103"/>
      <c r="E524" s="103"/>
      <c r="F524" s="103"/>
      <c r="G524" s="103"/>
      <c r="H524" s="104"/>
      <c r="I524" s="103"/>
      <c r="J524" s="103"/>
      <c r="K524" s="103"/>
      <c r="L524" s="103"/>
      <c r="M524" s="104"/>
      <c r="N524" s="103"/>
      <c r="O524" s="103"/>
      <c r="P524" s="103"/>
      <c r="Q524" s="103"/>
      <c r="R524" s="103"/>
      <c r="S524" s="103"/>
      <c r="T524" s="103"/>
      <c r="U524" s="103"/>
      <c r="V524" s="103"/>
      <c r="W524" s="103"/>
      <c r="X524" s="103"/>
      <c r="Y524" s="103"/>
    </row>
    <row r="525" spans="3:25" x14ac:dyDescent="0.2">
      <c r="C525" s="103"/>
      <c r="D525" s="103"/>
      <c r="E525" s="103"/>
      <c r="F525" s="103"/>
      <c r="G525" s="103"/>
      <c r="H525" s="104"/>
      <c r="I525" s="103"/>
      <c r="J525" s="103"/>
      <c r="K525" s="103"/>
      <c r="L525" s="103"/>
      <c r="M525" s="104"/>
      <c r="N525" s="103"/>
      <c r="O525" s="103"/>
      <c r="P525" s="103"/>
      <c r="Q525" s="103"/>
      <c r="R525" s="103"/>
      <c r="S525" s="103"/>
      <c r="T525" s="103"/>
      <c r="U525" s="103"/>
      <c r="V525" s="103"/>
      <c r="W525" s="103"/>
      <c r="X525" s="103"/>
      <c r="Y525" s="103"/>
    </row>
    <row r="526" spans="3:25" x14ac:dyDescent="0.2">
      <c r="C526" s="103"/>
      <c r="D526" s="103"/>
      <c r="E526" s="103"/>
      <c r="F526" s="103"/>
      <c r="G526" s="103"/>
      <c r="H526" s="104"/>
      <c r="I526" s="103"/>
      <c r="J526" s="103"/>
      <c r="K526" s="103"/>
      <c r="L526" s="103"/>
      <c r="M526" s="104"/>
      <c r="N526" s="103"/>
      <c r="O526" s="103"/>
      <c r="P526" s="103"/>
      <c r="Q526" s="103"/>
      <c r="R526" s="103"/>
      <c r="S526" s="103"/>
      <c r="T526" s="103"/>
      <c r="U526" s="103"/>
      <c r="V526" s="103"/>
      <c r="W526" s="103"/>
      <c r="X526" s="103"/>
      <c r="Y526" s="103"/>
    </row>
    <row r="527" spans="3:25" x14ac:dyDescent="0.2">
      <c r="C527" s="103"/>
      <c r="D527" s="103"/>
      <c r="E527" s="103"/>
      <c r="F527" s="103"/>
      <c r="G527" s="103"/>
      <c r="H527" s="104"/>
      <c r="I527" s="103"/>
      <c r="J527" s="103"/>
      <c r="K527" s="103"/>
      <c r="L527" s="103"/>
      <c r="M527" s="104"/>
      <c r="N527" s="103"/>
      <c r="O527" s="103"/>
      <c r="P527" s="103"/>
      <c r="Q527" s="103"/>
      <c r="R527" s="103"/>
      <c r="S527" s="103"/>
      <c r="T527" s="103"/>
      <c r="U527" s="103"/>
      <c r="V527" s="103"/>
      <c r="W527" s="103"/>
      <c r="X527" s="103"/>
      <c r="Y527" s="103"/>
    </row>
    <row r="528" spans="3:25" x14ac:dyDescent="0.2">
      <c r="C528" s="103"/>
      <c r="D528" s="103"/>
      <c r="E528" s="103"/>
      <c r="F528" s="103"/>
      <c r="G528" s="103"/>
      <c r="H528" s="104"/>
      <c r="I528" s="103"/>
      <c r="J528" s="103"/>
      <c r="K528" s="103"/>
      <c r="L528" s="103"/>
      <c r="M528" s="104"/>
      <c r="N528" s="103"/>
      <c r="O528" s="103"/>
      <c r="P528" s="103"/>
      <c r="Q528" s="103"/>
      <c r="R528" s="103"/>
      <c r="S528" s="103"/>
      <c r="T528" s="103"/>
      <c r="U528" s="103"/>
      <c r="V528" s="103"/>
      <c r="W528" s="103"/>
      <c r="X528" s="103"/>
      <c r="Y528" s="103"/>
    </row>
    <row r="529" spans="3:25" x14ac:dyDescent="0.2">
      <c r="C529" s="103"/>
      <c r="D529" s="103"/>
      <c r="E529" s="103"/>
      <c r="F529" s="103"/>
      <c r="G529" s="103"/>
      <c r="H529" s="104"/>
      <c r="I529" s="103"/>
      <c r="J529" s="103"/>
      <c r="K529" s="103"/>
      <c r="L529" s="103"/>
      <c r="M529" s="104"/>
      <c r="N529" s="103"/>
      <c r="O529" s="103"/>
      <c r="P529" s="103"/>
      <c r="Q529" s="103"/>
      <c r="R529" s="103"/>
      <c r="S529" s="103"/>
      <c r="T529" s="103"/>
      <c r="U529" s="103"/>
      <c r="V529" s="103"/>
      <c r="W529" s="103"/>
      <c r="X529" s="103"/>
      <c r="Y529" s="103"/>
    </row>
    <row r="530" spans="3:25" x14ac:dyDescent="0.2">
      <c r="C530" s="103"/>
      <c r="D530" s="103"/>
      <c r="E530" s="103"/>
      <c r="F530" s="103"/>
      <c r="G530" s="103"/>
      <c r="H530" s="104"/>
      <c r="I530" s="103"/>
      <c r="J530" s="103"/>
      <c r="K530" s="103"/>
      <c r="L530" s="103"/>
      <c r="M530" s="104"/>
      <c r="N530" s="103"/>
      <c r="O530" s="103"/>
      <c r="P530" s="103"/>
      <c r="Q530" s="103"/>
      <c r="R530" s="103"/>
      <c r="S530" s="103"/>
      <c r="T530" s="103"/>
      <c r="U530" s="103"/>
      <c r="V530" s="103"/>
      <c r="W530" s="103"/>
      <c r="X530" s="103"/>
      <c r="Y530" s="103"/>
    </row>
    <row r="531" spans="3:25" x14ac:dyDescent="0.2">
      <c r="C531" s="103"/>
      <c r="D531" s="103"/>
      <c r="E531" s="103"/>
      <c r="F531" s="103"/>
      <c r="G531" s="103"/>
      <c r="H531" s="104"/>
      <c r="I531" s="103"/>
      <c r="J531" s="103"/>
      <c r="K531" s="103"/>
      <c r="L531" s="103"/>
      <c r="M531" s="104"/>
      <c r="N531" s="103"/>
      <c r="O531" s="103"/>
      <c r="P531" s="103"/>
      <c r="Q531" s="103"/>
      <c r="R531" s="103"/>
      <c r="S531" s="103"/>
      <c r="T531" s="103"/>
      <c r="U531" s="103"/>
      <c r="V531" s="103"/>
      <c r="W531" s="103"/>
      <c r="X531" s="103"/>
      <c r="Y531" s="103"/>
    </row>
    <row r="532" spans="3:25" x14ac:dyDescent="0.2">
      <c r="C532" s="103"/>
      <c r="D532" s="103"/>
      <c r="E532" s="103"/>
      <c r="F532" s="103"/>
      <c r="G532" s="103"/>
      <c r="H532" s="104"/>
      <c r="I532" s="103"/>
      <c r="J532" s="103"/>
      <c r="K532" s="103"/>
      <c r="L532" s="103"/>
      <c r="M532" s="104"/>
      <c r="N532" s="103"/>
      <c r="O532" s="103"/>
      <c r="P532" s="103"/>
      <c r="Q532" s="103"/>
      <c r="R532" s="103"/>
      <c r="S532" s="103"/>
      <c r="T532" s="103"/>
      <c r="U532" s="103"/>
      <c r="V532" s="103"/>
      <c r="W532" s="103"/>
      <c r="X532" s="103"/>
      <c r="Y532" s="103"/>
    </row>
    <row r="533" spans="3:25" x14ac:dyDescent="0.2">
      <c r="C533" s="103"/>
      <c r="D533" s="103"/>
      <c r="E533" s="103"/>
      <c r="F533" s="103"/>
      <c r="G533" s="103"/>
      <c r="H533" s="104"/>
      <c r="I533" s="103"/>
      <c r="J533" s="103"/>
      <c r="K533" s="103"/>
      <c r="L533" s="103"/>
      <c r="M533" s="104"/>
      <c r="N533" s="103"/>
      <c r="O533" s="103"/>
      <c r="P533" s="103"/>
      <c r="Q533" s="103"/>
      <c r="R533" s="103"/>
      <c r="S533" s="103"/>
      <c r="T533" s="103"/>
      <c r="U533" s="103"/>
      <c r="V533" s="103"/>
      <c r="W533" s="103"/>
      <c r="X533" s="103"/>
      <c r="Y533" s="103"/>
    </row>
    <row r="534" spans="3:25" x14ac:dyDescent="0.2">
      <c r="C534" s="103"/>
      <c r="D534" s="103"/>
      <c r="E534" s="103"/>
      <c r="F534" s="103"/>
      <c r="G534" s="103"/>
      <c r="H534" s="104"/>
      <c r="I534" s="103"/>
      <c r="J534" s="103"/>
      <c r="K534" s="103"/>
      <c r="L534" s="103"/>
      <c r="M534" s="104"/>
      <c r="N534" s="103"/>
      <c r="O534" s="103"/>
      <c r="P534" s="103"/>
      <c r="Q534" s="103"/>
      <c r="R534" s="103"/>
      <c r="S534" s="103"/>
      <c r="T534" s="103"/>
      <c r="U534" s="103"/>
      <c r="V534" s="103"/>
      <c r="W534" s="103"/>
      <c r="X534" s="103"/>
      <c r="Y534" s="103"/>
    </row>
    <row r="535" spans="3:25" x14ac:dyDescent="0.2">
      <c r="C535" s="103"/>
      <c r="D535" s="103"/>
      <c r="E535" s="103"/>
      <c r="F535" s="103"/>
      <c r="G535" s="103"/>
      <c r="H535" s="104"/>
      <c r="I535" s="103"/>
      <c r="J535" s="103"/>
      <c r="K535" s="103"/>
      <c r="L535" s="103"/>
      <c r="M535" s="104"/>
      <c r="N535" s="103"/>
      <c r="O535" s="103"/>
      <c r="P535" s="103"/>
      <c r="Q535" s="103"/>
      <c r="R535" s="103"/>
      <c r="S535" s="103"/>
      <c r="T535" s="103"/>
      <c r="U535" s="103"/>
      <c r="V535" s="103"/>
      <c r="W535" s="103"/>
      <c r="X535" s="103"/>
      <c r="Y535" s="103"/>
    </row>
    <row r="536" spans="3:25" x14ac:dyDescent="0.2">
      <c r="C536" s="103"/>
      <c r="D536" s="103"/>
      <c r="E536" s="103"/>
      <c r="F536" s="103"/>
      <c r="G536" s="103"/>
      <c r="H536" s="104"/>
      <c r="I536" s="103"/>
      <c r="J536" s="103"/>
      <c r="K536" s="103"/>
      <c r="L536" s="103"/>
      <c r="M536" s="104"/>
      <c r="N536" s="103"/>
      <c r="O536" s="103"/>
      <c r="P536" s="103"/>
      <c r="Q536" s="103"/>
      <c r="R536" s="103"/>
      <c r="S536" s="103"/>
      <c r="T536" s="103"/>
      <c r="U536" s="103"/>
      <c r="V536" s="103"/>
      <c r="W536" s="103"/>
      <c r="X536" s="103"/>
      <c r="Y536" s="103"/>
    </row>
    <row r="537" spans="3:25" x14ac:dyDescent="0.2">
      <c r="C537" s="103"/>
      <c r="D537" s="103"/>
      <c r="E537" s="103"/>
      <c r="F537" s="103"/>
      <c r="G537" s="103"/>
      <c r="H537" s="104"/>
      <c r="I537" s="103"/>
      <c r="J537" s="103"/>
      <c r="K537" s="103"/>
      <c r="L537" s="103"/>
      <c r="M537" s="104"/>
      <c r="N537" s="103"/>
      <c r="O537" s="103"/>
      <c r="P537" s="103"/>
      <c r="Q537" s="103"/>
      <c r="R537" s="103"/>
      <c r="S537" s="103"/>
      <c r="T537" s="103"/>
      <c r="U537" s="103"/>
      <c r="V537" s="103"/>
      <c r="W537" s="103"/>
      <c r="X537" s="103"/>
      <c r="Y537" s="103"/>
    </row>
    <row r="538" spans="3:25" x14ac:dyDescent="0.2">
      <c r="C538" s="103"/>
      <c r="D538" s="103"/>
      <c r="E538" s="103"/>
      <c r="F538" s="103"/>
      <c r="G538" s="103"/>
      <c r="H538" s="104"/>
      <c r="I538" s="103"/>
      <c r="J538" s="103"/>
      <c r="K538" s="103"/>
      <c r="L538" s="103"/>
      <c r="M538" s="104"/>
      <c r="N538" s="103"/>
      <c r="O538" s="103"/>
      <c r="P538" s="103"/>
      <c r="Q538" s="103"/>
      <c r="R538" s="103"/>
      <c r="S538" s="103"/>
      <c r="T538" s="103"/>
      <c r="U538" s="103"/>
      <c r="V538" s="103"/>
      <c r="W538" s="103"/>
      <c r="X538" s="103"/>
      <c r="Y538" s="103"/>
    </row>
    <row r="539" spans="3:25" x14ac:dyDescent="0.2">
      <c r="C539" s="103"/>
      <c r="D539" s="103"/>
      <c r="E539" s="103"/>
      <c r="F539" s="103"/>
      <c r="G539" s="103"/>
      <c r="H539" s="104"/>
      <c r="I539" s="103"/>
      <c r="J539" s="103"/>
      <c r="K539" s="103"/>
      <c r="L539" s="103"/>
      <c r="M539" s="104"/>
      <c r="N539" s="103"/>
      <c r="O539" s="103"/>
      <c r="P539" s="103"/>
      <c r="Q539" s="103"/>
      <c r="R539" s="103"/>
      <c r="S539" s="103"/>
      <c r="T539" s="103"/>
      <c r="U539" s="103"/>
      <c r="V539" s="103"/>
      <c r="W539" s="103"/>
      <c r="X539" s="103"/>
      <c r="Y539" s="103"/>
    </row>
    <row r="540" spans="3:25" x14ac:dyDescent="0.2">
      <c r="C540" s="103"/>
      <c r="D540" s="103"/>
      <c r="E540" s="103"/>
      <c r="F540" s="103"/>
      <c r="G540" s="103"/>
      <c r="H540" s="104"/>
      <c r="I540" s="103"/>
      <c r="J540" s="103"/>
      <c r="K540" s="103"/>
      <c r="L540" s="103"/>
      <c r="M540" s="104"/>
      <c r="N540" s="103"/>
      <c r="O540" s="103"/>
      <c r="P540" s="103"/>
      <c r="Q540" s="103"/>
      <c r="R540" s="103"/>
      <c r="S540" s="103"/>
      <c r="T540" s="103"/>
      <c r="U540" s="103"/>
      <c r="V540" s="103"/>
      <c r="W540" s="103"/>
      <c r="X540" s="103"/>
      <c r="Y540" s="103"/>
    </row>
    <row r="541" spans="3:25" x14ac:dyDescent="0.2">
      <c r="C541" s="103"/>
      <c r="D541" s="103"/>
      <c r="E541" s="103"/>
      <c r="F541" s="103"/>
      <c r="G541" s="103"/>
      <c r="H541" s="104"/>
      <c r="I541" s="103"/>
      <c r="J541" s="103"/>
      <c r="K541" s="103"/>
      <c r="L541" s="103"/>
      <c r="M541" s="104"/>
      <c r="N541" s="103"/>
      <c r="O541" s="103"/>
      <c r="P541" s="103"/>
      <c r="Q541" s="103"/>
      <c r="R541" s="103"/>
      <c r="S541" s="103"/>
      <c r="T541" s="103"/>
      <c r="U541" s="103"/>
      <c r="V541" s="103"/>
      <c r="W541" s="103"/>
      <c r="X541" s="103"/>
      <c r="Y541" s="103"/>
    </row>
    <row r="542" spans="3:25" x14ac:dyDescent="0.2">
      <c r="C542" s="103"/>
      <c r="D542" s="103"/>
      <c r="E542" s="103"/>
      <c r="F542" s="103"/>
      <c r="G542" s="103"/>
      <c r="H542" s="104"/>
      <c r="I542" s="103"/>
      <c r="J542" s="103"/>
      <c r="K542" s="103"/>
      <c r="L542" s="103"/>
      <c r="M542" s="104"/>
      <c r="N542" s="103"/>
      <c r="O542" s="103"/>
      <c r="P542" s="103"/>
      <c r="Q542" s="103"/>
      <c r="R542" s="103"/>
      <c r="S542" s="103"/>
      <c r="T542" s="103"/>
      <c r="U542" s="103"/>
      <c r="V542" s="103"/>
      <c r="W542" s="103"/>
      <c r="X542" s="103"/>
      <c r="Y542" s="103"/>
    </row>
    <row r="543" spans="3:25" x14ac:dyDescent="0.2">
      <c r="C543" s="103"/>
      <c r="D543" s="103"/>
      <c r="E543" s="103"/>
      <c r="F543" s="103"/>
      <c r="G543" s="103"/>
      <c r="H543" s="104"/>
      <c r="I543" s="103"/>
      <c r="J543" s="103"/>
      <c r="K543" s="103"/>
      <c r="L543" s="103"/>
      <c r="M543" s="104"/>
      <c r="N543" s="103"/>
      <c r="O543" s="103"/>
      <c r="P543" s="103"/>
      <c r="Q543" s="103"/>
      <c r="R543" s="103"/>
      <c r="S543" s="103"/>
      <c r="T543" s="103"/>
      <c r="U543" s="103"/>
      <c r="V543" s="103"/>
      <c r="W543" s="103"/>
      <c r="X543" s="103"/>
      <c r="Y543" s="103"/>
    </row>
    <row r="544" spans="3:25" x14ac:dyDescent="0.2">
      <c r="C544" s="103"/>
      <c r="D544" s="103"/>
      <c r="E544" s="103"/>
      <c r="F544" s="103"/>
      <c r="G544" s="103"/>
      <c r="H544" s="104"/>
      <c r="I544" s="103"/>
      <c r="J544" s="103"/>
      <c r="K544" s="103"/>
      <c r="L544" s="103"/>
      <c r="M544" s="104"/>
      <c r="N544" s="103"/>
      <c r="O544" s="103"/>
      <c r="P544" s="103"/>
      <c r="Q544" s="103"/>
      <c r="R544" s="103"/>
      <c r="S544" s="103"/>
      <c r="T544" s="103"/>
      <c r="U544" s="103"/>
      <c r="V544" s="103"/>
      <c r="W544" s="103"/>
      <c r="X544" s="103"/>
      <c r="Y544" s="103"/>
    </row>
    <row r="545" spans="3:25" x14ac:dyDescent="0.2">
      <c r="C545" s="103"/>
      <c r="D545" s="103"/>
      <c r="E545" s="103"/>
      <c r="F545" s="103"/>
      <c r="G545" s="103"/>
      <c r="H545" s="104"/>
      <c r="I545" s="103"/>
      <c r="J545" s="103"/>
      <c r="K545" s="103"/>
      <c r="L545" s="103"/>
      <c r="M545" s="104"/>
      <c r="N545" s="103"/>
      <c r="O545" s="103"/>
      <c r="P545" s="103"/>
      <c r="Q545" s="103"/>
      <c r="R545" s="103"/>
      <c r="S545" s="103"/>
      <c r="T545" s="103"/>
      <c r="U545" s="103"/>
      <c r="V545" s="103"/>
      <c r="W545" s="103"/>
      <c r="X545" s="103"/>
      <c r="Y545" s="103"/>
    </row>
    <row r="546" spans="3:25" x14ac:dyDescent="0.2">
      <c r="C546" s="103"/>
      <c r="D546" s="103"/>
      <c r="E546" s="103"/>
      <c r="F546" s="103"/>
      <c r="G546" s="103"/>
      <c r="H546" s="104"/>
      <c r="I546" s="103"/>
      <c r="J546" s="103"/>
      <c r="K546" s="103"/>
      <c r="L546" s="103"/>
      <c r="M546" s="104"/>
      <c r="N546" s="103"/>
      <c r="O546" s="103"/>
      <c r="P546" s="103"/>
      <c r="Q546" s="103"/>
      <c r="R546" s="103"/>
      <c r="S546" s="103"/>
      <c r="T546" s="103"/>
      <c r="U546" s="103"/>
      <c r="V546" s="103"/>
      <c r="W546" s="103"/>
      <c r="X546" s="103"/>
      <c r="Y546" s="103"/>
    </row>
    <row r="547" spans="3:25" x14ac:dyDescent="0.2">
      <c r="C547" s="103"/>
      <c r="D547" s="103"/>
      <c r="E547" s="103"/>
      <c r="F547" s="103"/>
      <c r="G547" s="103"/>
      <c r="H547" s="104"/>
      <c r="I547" s="103"/>
      <c r="J547" s="103"/>
      <c r="K547" s="103"/>
      <c r="L547" s="103"/>
      <c r="M547" s="104"/>
      <c r="N547" s="103"/>
      <c r="O547" s="103"/>
      <c r="P547" s="103"/>
      <c r="Q547" s="103"/>
      <c r="R547" s="103"/>
      <c r="S547" s="103"/>
      <c r="T547" s="103"/>
      <c r="U547" s="103"/>
      <c r="V547" s="103"/>
      <c r="W547" s="103"/>
      <c r="X547" s="103"/>
      <c r="Y547" s="103"/>
    </row>
    <row r="548" spans="3:25" x14ac:dyDescent="0.2">
      <c r="C548" s="103"/>
      <c r="D548" s="103"/>
      <c r="E548" s="103"/>
      <c r="F548" s="103"/>
      <c r="G548" s="103"/>
      <c r="H548" s="104"/>
      <c r="I548" s="103"/>
      <c r="J548" s="103"/>
      <c r="K548" s="103"/>
      <c r="L548" s="103"/>
      <c r="M548" s="104"/>
      <c r="N548" s="103"/>
      <c r="O548" s="103"/>
      <c r="P548" s="103"/>
      <c r="Q548" s="103"/>
      <c r="R548" s="103"/>
      <c r="S548" s="103"/>
      <c r="T548" s="103"/>
      <c r="U548" s="103"/>
      <c r="V548" s="103"/>
      <c r="W548" s="103"/>
      <c r="X548" s="103"/>
      <c r="Y548" s="103"/>
    </row>
    <row r="549" spans="3:25" x14ac:dyDescent="0.2">
      <c r="C549" s="103"/>
      <c r="D549" s="103"/>
      <c r="E549" s="103"/>
      <c r="F549" s="103"/>
      <c r="G549" s="103"/>
      <c r="H549" s="104"/>
      <c r="I549" s="103"/>
      <c r="J549" s="103"/>
      <c r="K549" s="103"/>
      <c r="L549" s="103"/>
      <c r="M549" s="104"/>
      <c r="N549" s="103"/>
      <c r="O549" s="103"/>
      <c r="P549" s="103"/>
      <c r="Q549" s="103"/>
      <c r="R549" s="103"/>
      <c r="S549" s="103"/>
      <c r="T549" s="103"/>
      <c r="U549" s="103"/>
      <c r="V549" s="103"/>
      <c r="W549" s="103"/>
      <c r="X549" s="103"/>
      <c r="Y549" s="103"/>
    </row>
    <row r="550" spans="3:25" x14ac:dyDescent="0.2">
      <c r="C550" s="103"/>
      <c r="D550" s="103"/>
      <c r="E550" s="103"/>
      <c r="F550" s="103"/>
      <c r="G550" s="103"/>
      <c r="H550" s="104"/>
      <c r="I550" s="103"/>
      <c r="J550" s="103"/>
      <c r="K550" s="103"/>
      <c r="L550" s="103"/>
      <c r="M550" s="104"/>
      <c r="N550" s="103"/>
      <c r="O550" s="103"/>
      <c r="P550" s="103"/>
      <c r="Q550" s="103"/>
      <c r="R550" s="103"/>
      <c r="S550" s="103"/>
      <c r="T550" s="103"/>
      <c r="U550" s="103"/>
      <c r="V550" s="103"/>
      <c r="W550" s="103"/>
      <c r="X550" s="103"/>
      <c r="Y550" s="103"/>
    </row>
    <row r="551" spans="3:25" x14ac:dyDescent="0.2">
      <c r="C551" s="103"/>
      <c r="D551" s="103"/>
      <c r="E551" s="103"/>
      <c r="F551" s="103"/>
      <c r="G551" s="103"/>
      <c r="H551" s="104"/>
      <c r="I551" s="103"/>
      <c r="J551" s="103"/>
      <c r="K551" s="103"/>
      <c r="L551" s="103"/>
      <c r="M551" s="104"/>
      <c r="N551" s="103"/>
      <c r="O551" s="103"/>
      <c r="P551" s="103"/>
      <c r="Q551" s="103"/>
      <c r="R551" s="103"/>
      <c r="S551" s="103"/>
      <c r="T551" s="103"/>
      <c r="U551" s="103"/>
      <c r="V551" s="103"/>
      <c r="W551" s="103"/>
      <c r="X551" s="103"/>
      <c r="Y551" s="103"/>
    </row>
    <row r="552" spans="3:25" x14ac:dyDescent="0.2">
      <c r="C552" s="103"/>
      <c r="D552" s="103"/>
      <c r="E552" s="103"/>
      <c r="F552" s="103"/>
      <c r="G552" s="103"/>
      <c r="H552" s="104"/>
      <c r="I552" s="103"/>
      <c r="J552" s="103"/>
      <c r="K552" s="103"/>
      <c r="L552" s="103"/>
      <c r="M552" s="104"/>
      <c r="N552" s="103"/>
      <c r="O552" s="103"/>
      <c r="P552" s="103"/>
      <c r="Q552" s="103"/>
      <c r="R552" s="103"/>
      <c r="S552" s="103"/>
      <c r="T552" s="103"/>
      <c r="U552" s="103"/>
      <c r="V552" s="103"/>
      <c r="W552" s="103"/>
      <c r="X552" s="103"/>
      <c r="Y552" s="103"/>
    </row>
    <row r="553" spans="3:25" x14ac:dyDescent="0.2">
      <c r="C553" s="103"/>
      <c r="D553" s="103"/>
      <c r="E553" s="103"/>
      <c r="F553" s="103"/>
      <c r="G553" s="103"/>
      <c r="H553" s="104"/>
      <c r="I553" s="103"/>
      <c r="J553" s="103"/>
      <c r="K553" s="103"/>
      <c r="L553" s="103"/>
      <c r="M553" s="104"/>
      <c r="N553" s="103"/>
      <c r="O553" s="103"/>
      <c r="P553" s="103"/>
      <c r="Q553" s="103"/>
      <c r="R553" s="103"/>
      <c r="S553" s="103"/>
      <c r="T553" s="103"/>
      <c r="U553" s="103"/>
      <c r="V553" s="103"/>
      <c r="W553" s="103"/>
      <c r="X553" s="103"/>
      <c r="Y553" s="103"/>
    </row>
    <row r="554" spans="3:25" x14ac:dyDescent="0.2">
      <c r="C554" s="103"/>
      <c r="D554" s="103"/>
      <c r="E554" s="103"/>
      <c r="F554" s="103"/>
      <c r="G554" s="103"/>
      <c r="H554" s="104"/>
      <c r="I554" s="103"/>
      <c r="J554" s="103"/>
      <c r="K554" s="103"/>
      <c r="L554" s="103"/>
      <c r="M554" s="104"/>
      <c r="N554" s="103"/>
      <c r="O554" s="103"/>
      <c r="P554" s="103"/>
      <c r="Q554" s="103"/>
      <c r="R554" s="103"/>
      <c r="S554" s="103"/>
      <c r="T554" s="103"/>
      <c r="U554" s="103"/>
      <c r="V554" s="103"/>
      <c r="W554" s="103"/>
      <c r="X554" s="103"/>
      <c r="Y554" s="103"/>
    </row>
    <row r="555" spans="3:25" x14ac:dyDescent="0.2">
      <c r="C555" s="103"/>
      <c r="D555" s="103"/>
      <c r="E555" s="103"/>
      <c r="F555" s="103"/>
      <c r="G555" s="103"/>
      <c r="H555" s="104"/>
      <c r="I555" s="103"/>
      <c r="J555" s="103"/>
      <c r="K555" s="103"/>
      <c r="L555" s="103"/>
      <c r="M555" s="104"/>
      <c r="N555" s="103"/>
      <c r="O555" s="103"/>
      <c r="P555" s="103"/>
      <c r="Q555" s="103"/>
      <c r="R555" s="103"/>
      <c r="S555" s="103"/>
      <c r="T555" s="103"/>
      <c r="U555" s="103"/>
      <c r="V555" s="103"/>
      <c r="W555" s="103"/>
      <c r="X555" s="103"/>
      <c r="Y555" s="103"/>
    </row>
    <row r="556" spans="3:25" x14ac:dyDescent="0.2">
      <c r="C556" s="103"/>
      <c r="D556" s="103"/>
      <c r="E556" s="103"/>
      <c r="F556" s="103"/>
      <c r="G556" s="103"/>
      <c r="H556" s="104"/>
      <c r="I556" s="103"/>
      <c r="J556" s="103"/>
      <c r="K556" s="103"/>
      <c r="L556" s="103"/>
      <c r="M556" s="104"/>
      <c r="N556" s="103"/>
      <c r="O556" s="103"/>
      <c r="P556" s="103"/>
      <c r="Q556" s="103"/>
      <c r="R556" s="103"/>
      <c r="S556" s="103"/>
      <c r="T556" s="103"/>
      <c r="U556" s="103"/>
      <c r="V556" s="103"/>
      <c r="W556" s="103"/>
      <c r="X556" s="103"/>
      <c r="Y556" s="103"/>
    </row>
    <row r="557" spans="3:25" x14ac:dyDescent="0.2">
      <c r="C557" s="103"/>
      <c r="D557" s="103"/>
      <c r="E557" s="103"/>
      <c r="F557" s="103"/>
      <c r="G557" s="103"/>
      <c r="H557" s="104"/>
      <c r="I557" s="103"/>
      <c r="J557" s="103"/>
      <c r="K557" s="103"/>
      <c r="L557" s="103"/>
      <c r="M557" s="104"/>
      <c r="N557" s="103"/>
      <c r="O557" s="103"/>
      <c r="P557" s="103"/>
      <c r="Q557" s="103"/>
      <c r="R557" s="103"/>
      <c r="S557" s="103"/>
      <c r="T557" s="103"/>
      <c r="U557" s="103"/>
      <c r="V557" s="103"/>
      <c r="W557" s="103"/>
      <c r="X557" s="103"/>
      <c r="Y557" s="103"/>
    </row>
    <row r="558" spans="3:25" x14ac:dyDescent="0.2">
      <c r="C558" s="103"/>
      <c r="D558" s="103"/>
      <c r="E558" s="103"/>
      <c r="F558" s="103"/>
      <c r="G558" s="103"/>
      <c r="H558" s="104"/>
      <c r="I558" s="103"/>
      <c r="J558" s="103"/>
      <c r="K558" s="103"/>
      <c r="L558" s="103"/>
      <c r="M558" s="104"/>
      <c r="N558" s="103"/>
      <c r="O558" s="103"/>
      <c r="P558" s="103"/>
      <c r="Q558" s="103"/>
      <c r="R558" s="103"/>
      <c r="S558" s="103"/>
      <c r="T558" s="103"/>
      <c r="U558" s="103"/>
      <c r="V558" s="103"/>
      <c r="W558" s="103"/>
      <c r="X558" s="103"/>
      <c r="Y558" s="103"/>
    </row>
    <row r="559" spans="3:25" x14ac:dyDescent="0.2">
      <c r="C559" s="103"/>
      <c r="D559" s="103"/>
      <c r="E559" s="103"/>
      <c r="F559" s="103"/>
      <c r="G559" s="103"/>
      <c r="H559" s="104"/>
      <c r="I559" s="103"/>
      <c r="J559" s="103"/>
      <c r="K559" s="103"/>
      <c r="L559" s="103"/>
      <c r="M559" s="104"/>
      <c r="N559" s="103"/>
      <c r="O559" s="103"/>
      <c r="P559" s="103"/>
      <c r="Q559" s="103"/>
      <c r="R559" s="103"/>
      <c r="S559" s="103"/>
      <c r="T559" s="103"/>
      <c r="U559" s="103"/>
      <c r="V559" s="103"/>
      <c r="W559" s="103"/>
      <c r="X559" s="103"/>
      <c r="Y559" s="103"/>
    </row>
    <row r="560" spans="3:25" x14ac:dyDescent="0.2">
      <c r="C560" s="103"/>
      <c r="D560" s="103"/>
      <c r="E560" s="103"/>
      <c r="F560" s="103"/>
      <c r="G560" s="103"/>
      <c r="H560" s="104"/>
      <c r="I560" s="103"/>
      <c r="J560" s="103"/>
      <c r="K560" s="103"/>
      <c r="L560" s="103"/>
      <c r="M560" s="104"/>
      <c r="N560" s="103"/>
      <c r="O560" s="103"/>
      <c r="P560" s="103"/>
      <c r="Q560" s="103"/>
      <c r="R560" s="103"/>
      <c r="S560" s="103"/>
      <c r="T560" s="103"/>
      <c r="U560" s="103"/>
      <c r="V560" s="103"/>
      <c r="W560" s="103"/>
      <c r="X560" s="103"/>
      <c r="Y560" s="103"/>
    </row>
    <row r="561" spans="3:25" x14ac:dyDescent="0.2">
      <c r="C561" s="103"/>
      <c r="D561" s="103"/>
      <c r="E561" s="103"/>
      <c r="F561" s="103"/>
      <c r="G561" s="103"/>
      <c r="H561" s="104"/>
      <c r="I561" s="103"/>
      <c r="J561" s="103"/>
      <c r="K561" s="103"/>
      <c r="L561" s="103"/>
      <c r="M561" s="104"/>
      <c r="N561" s="103"/>
      <c r="O561" s="103"/>
      <c r="P561" s="103"/>
      <c r="Q561" s="103"/>
      <c r="R561" s="103"/>
      <c r="S561" s="103"/>
      <c r="T561" s="103"/>
      <c r="U561" s="103"/>
      <c r="V561" s="103"/>
      <c r="W561" s="103"/>
      <c r="X561" s="103"/>
      <c r="Y561" s="103"/>
    </row>
    <row r="562" spans="3:25" x14ac:dyDescent="0.2">
      <c r="C562" s="103"/>
      <c r="D562" s="103"/>
      <c r="E562" s="103"/>
      <c r="F562" s="103"/>
      <c r="G562" s="103"/>
      <c r="H562" s="104"/>
      <c r="I562" s="103"/>
      <c r="J562" s="103"/>
      <c r="K562" s="103"/>
      <c r="L562" s="103"/>
      <c r="M562" s="104"/>
      <c r="N562" s="103"/>
      <c r="O562" s="103"/>
      <c r="P562" s="103"/>
      <c r="Q562" s="103"/>
      <c r="R562" s="103"/>
      <c r="S562" s="103"/>
      <c r="T562" s="103"/>
      <c r="U562" s="103"/>
      <c r="V562" s="103"/>
      <c r="W562" s="103"/>
      <c r="X562" s="103"/>
      <c r="Y562" s="103"/>
    </row>
    <row r="563" spans="3:25" x14ac:dyDescent="0.2">
      <c r="C563" s="103"/>
      <c r="D563" s="103"/>
      <c r="E563" s="103"/>
      <c r="F563" s="103"/>
      <c r="G563" s="103"/>
      <c r="H563" s="104"/>
      <c r="I563" s="103"/>
      <c r="J563" s="103"/>
      <c r="K563" s="103"/>
      <c r="L563" s="103"/>
      <c r="M563" s="104"/>
      <c r="N563" s="103"/>
      <c r="O563" s="103"/>
      <c r="P563" s="103"/>
      <c r="Q563" s="103"/>
      <c r="R563" s="103"/>
      <c r="S563" s="103"/>
      <c r="T563" s="103"/>
      <c r="U563" s="103"/>
      <c r="V563" s="103"/>
      <c r="W563" s="103"/>
      <c r="X563" s="103"/>
      <c r="Y563" s="103"/>
    </row>
    <row r="564" spans="3:25" x14ac:dyDescent="0.2">
      <c r="C564" s="103"/>
      <c r="D564" s="103"/>
      <c r="E564" s="103"/>
      <c r="F564" s="103"/>
      <c r="G564" s="103"/>
      <c r="H564" s="104"/>
      <c r="I564" s="103"/>
      <c r="J564" s="103"/>
      <c r="K564" s="103"/>
      <c r="L564" s="103"/>
      <c r="M564" s="104"/>
      <c r="N564" s="103"/>
      <c r="O564" s="103"/>
      <c r="P564" s="103"/>
      <c r="Q564" s="103"/>
      <c r="R564" s="103"/>
      <c r="S564" s="103"/>
      <c r="T564" s="103"/>
      <c r="U564" s="103"/>
      <c r="V564" s="103"/>
      <c r="W564" s="103"/>
      <c r="X564" s="103"/>
      <c r="Y564" s="103"/>
    </row>
    <row r="565" spans="3:25" x14ac:dyDescent="0.2">
      <c r="C565" s="103"/>
      <c r="D565" s="103"/>
      <c r="E565" s="103"/>
      <c r="F565" s="103"/>
      <c r="G565" s="103"/>
      <c r="H565" s="104"/>
      <c r="I565" s="103"/>
      <c r="J565" s="103"/>
      <c r="K565" s="103"/>
      <c r="L565" s="103"/>
      <c r="M565" s="104"/>
      <c r="N565" s="103"/>
      <c r="O565" s="103"/>
      <c r="P565" s="103"/>
      <c r="Q565" s="103"/>
      <c r="R565" s="103"/>
      <c r="S565" s="103"/>
      <c r="T565" s="103"/>
      <c r="U565" s="103"/>
      <c r="V565" s="103"/>
      <c r="W565" s="103"/>
      <c r="X565" s="103"/>
      <c r="Y565" s="103"/>
    </row>
    <row r="566" spans="3:25" x14ac:dyDescent="0.2">
      <c r="C566" s="103"/>
      <c r="D566" s="103"/>
      <c r="E566" s="103"/>
      <c r="F566" s="103"/>
      <c r="G566" s="103"/>
      <c r="H566" s="104"/>
      <c r="I566" s="103"/>
      <c r="J566" s="103"/>
      <c r="K566" s="103"/>
      <c r="L566" s="103"/>
      <c r="M566" s="104"/>
      <c r="N566" s="103"/>
      <c r="O566" s="103"/>
      <c r="P566" s="103"/>
      <c r="Q566" s="103"/>
      <c r="R566" s="103"/>
      <c r="S566" s="103"/>
      <c r="T566" s="103"/>
      <c r="U566" s="103"/>
      <c r="V566" s="103"/>
      <c r="W566" s="103"/>
      <c r="X566" s="103"/>
      <c r="Y566" s="103"/>
    </row>
    <row r="567" spans="3:25" x14ac:dyDescent="0.2">
      <c r="C567" s="103"/>
      <c r="D567" s="103"/>
      <c r="E567" s="103"/>
      <c r="F567" s="103"/>
      <c r="G567" s="103"/>
      <c r="H567" s="104"/>
      <c r="I567" s="103"/>
      <c r="J567" s="103"/>
      <c r="K567" s="103"/>
      <c r="L567" s="103"/>
      <c r="M567" s="104"/>
      <c r="N567" s="103"/>
      <c r="O567" s="103"/>
      <c r="P567" s="103"/>
      <c r="Q567" s="103"/>
      <c r="R567" s="103"/>
      <c r="S567" s="103"/>
      <c r="T567" s="103"/>
      <c r="U567" s="103"/>
      <c r="V567" s="103"/>
      <c r="W567" s="103"/>
      <c r="X567" s="103"/>
      <c r="Y567" s="103"/>
    </row>
    <row r="568" spans="3:25" x14ac:dyDescent="0.2">
      <c r="C568" s="103"/>
      <c r="D568" s="103"/>
      <c r="E568" s="103"/>
      <c r="F568" s="103"/>
      <c r="G568" s="103"/>
      <c r="H568" s="104"/>
      <c r="I568" s="103"/>
      <c r="J568" s="103"/>
      <c r="K568" s="103"/>
      <c r="L568" s="103"/>
      <c r="M568" s="104"/>
      <c r="N568" s="103"/>
      <c r="O568" s="103"/>
      <c r="P568" s="103"/>
      <c r="Q568" s="103"/>
      <c r="R568" s="103"/>
      <c r="S568" s="103"/>
      <c r="T568" s="103"/>
      <c r="U568" s="103"/>
      <c r="V568" s="103"/>
      <c r="W568" s="103"/>
      <c r="X568" s="103"/>
      <c r="Y568" s="103"/>
    </row>
    <row r="569" spans="3:25" x14ac:dyDescent="0.2">
      <c r="C569" s="103"/>
      <c r="D569" s="103"/>
      <c r="E569" s="103"/>
      <c r="F569" s="103"/>
      <c r="G569" s="103"/>
      <c r="H569" s="104"/>
      <c r="I569" s="103"/>
      <c r="J569" s="103"/>
      <c r="K569" s="103"/>
      <c r="L569" s="103"/>
      <c r="M569" s="104"/>
      <c r="N569" s="103"/>
      <c r="O569" s="103"/>
      <c r="P569" s="103"/>
      <c r="Q569" s="103"/>
      <c r="R569" s="103"/>
      <c r="S569" s="103"/>
      <c r="T569" s="103"/>
      <c r="U569" s="103"/>
      <c r="V569" s="103"/>
      <c r="W569" s="103"/>
      <c r="X569" s="103"/>
      <c r="Y569" s="103"/>
    </row>
    <row r="570" spans="3:25" x14ac:dyDescent="0.2">
      <c r="C570" s="103"/>
      <c r="D570" s="103"/>
      <c r="E570" s="103"/>
      <c r="F570" s="103"/>
      <c r="G570" s="103"/>
      <c r="H570" s="104"/>
      <c r="I570" s="103"/>
      <c r="J570" s="103"/>
      <c r="K570" s="103"/>
      <c r="L570" s="103"/>
      <c r="M570" s="104"/>
      <c r="N570" s="103"/>
      <c r="O570" s="103"/>
      <c r="P570" s="103"/>
      <c r="Q570" s="103"/>
      <c r="R570" s="103"/>
      <c r="S570" s="103"/>
      <c r="T570" s="103"/>
      <c r="U570" s="103"/>
      <c r="V570" s="103"/>
      <c r="W570" s="103"/>
      <c r="X570" s="103"/>
      <c r="Y570" s="103"/>
    </row>
    <row r="571" spans="3:25" x14ac:dyDescent="0.2">
      <c r="C571" s="103"/>
      <c r="D571" s="103"/>
      <c r="E571" s="103"/>
      <c r="F571" s="103"/>
      <c r="G571" s="103"/>
      <c r="H571" s="104"/>
      <c r="I571" s="103"/>
      <c r="J571" s="103"/>
      <c r="K571" s="103"/>
      <c r="L571" s="103"/>
      <c r="M571" s="104"/>
      <c r="N571" s="103"/>
      <c r="O571" s="103"/>
      <c r="P571" s="103"/>
      <c r="Q571" s="103"/>
      <c r="R571" s="103"/>
      <c r="S571" s="103"/>
      <c r="T571" s="103"/>
      <c r="U571" s="103"/>
      <c r="V571" s="103"/>
      <c r="W571" s="103"/>
      <c r="X571" s="103"/>
      <c r="Y571" s="103"/>
    </row>
    <row r="572" spans="3:25" x14ac:dyDescent="0.2">
      <c r="C572" s="103"/>
      <c r="D572" s="103"/>
      <c r="E572" s="103"/>
      <c r="F572" s="103"/>
      <c r="G572" s="103"/>
      <c r="H572" s="104"/>
      <c r="I572" s="103"/>
      <c r="J572" s="103"/>
      <c r="K572" s="103"/>
      <c r="L572" s="103"/>
      <c r="M572" s="104"/>
      <c r="N572" s="103"/>
      <c r="O572" s="103"/>
      <c r="P572" s="103"/>
      <c r="Q572" s="103"/>
      <c r="R572" s="103"/>
      <c r="S572" s="103"/>
      <c r="T572" s="103"/>
      <c r="U572" s="103"/>
      <c r="V572" s="103"/>
      <c r="W572" s="103"/>
      <c r="X572" s="103"/>
      <c r="Y572" s="103"/>
    </row>
    <row r="573" spans="3:25" x14ac:dyDescent="0.2">
      <c r="C573" s="103"/>
      <c r="D573" s="103"/>
      <c r="E573" s="103"/>
      <c r="F573" s="103"/>
      <c r="G573" s="103"/>
      <c r="H573" s="104"/>
      <c r="I573" s="103"/>
      <c r="J573" s="103"/>
      <c r="K573" s="103"/>
      <c r="L573" s="103"/>
      <c r="M573" s="104"/>
      <c r="N573" s="103"/>
      <c r="O573" s="103"/>
      <c r="P573" s="103"/>
      <c r="Q573" s="103"/>
      <c r="R573" s="103"/>
      <c r="S573" s="103"/>
      <c r="T573" s="103"/>
      <c r="U573" s="103"/>
      <c r="V573" s="103"/>
      <c r="W573" s="103"/>
      <c r="X573" s="103"/>
      <c r="Y573" s="103"/>
    </row>
    <row r="574" spans="3:25" x14ac:dyDescent="0.2">
      <c r="C574" s="103"/>
      <c r="D574" s="103"/>
      <c r="E574" s="103"/>
      <c r="F574" s="103"/>
      <c r="G574" s="103"/>
      <c r="H574" s="104"/>
      <c r="I574" s="103"/>
      <c r="J574" s="103"/>
      <c r="K574" s="103"/>
      <c r="L574" s="103"/>
      <c r="M574" s="104"/>
      <c r="N574" s="103"/>
      <c r="O574" s="103"/>
      <c r="P574" s="103"/>
      <c r="Q574" s="103"/>
      <c r="R574" s="103"/>
      <c r="S574" s="103"/>
      <c r="T574" s="103"/>
      <c r="U574" s="103"/>
      <c r="V574" s="103"/>
      <c r="W574" s="103"/>
      <c r="X574" s="103"/>
      <c r="Y574" s="103"/>
    </row>
    <row r="575" spans="3:25" x14ac:dyDescent="0.2">
      <c r="C575" s="103"/>
      <c r="D575" s="103"/>
      <c r="E575" s="103"/>
      <c r="F575" s="103"/>
      <c r="G575" s="103"/>
      <c r="H575" s="104"/>
      <c r="I575" s="103"/>
      <c r="J575" s="103"/>
      <c r="K575" s="103"/>
      <c r="L575" s="103"/>
      <c r="M575" s="104"/>
      <c r="N575" s="103"/>
      <c r="O575" s="103"/>
      <c r="P575" s="103"/>
      <c r="Q575" s="103"/>
      <c r="R575" s="103"/>
      <c r="S575" s="103"/>
      <c r="T575" s="103"/>
      <c r="U575" s="103"/>
      <c r="V575" s="103"/>
      <c r="W575" s="103"/>
      <c r="X575" s="103"/>
      <c r="Y575" s="103"/>
    </row>
    <row r="576" spans="3:25" x14ac:dyDescent="0.2">
      <c r="C576" s="103"/>
      <c r="D576" s="103"/>
      <c r="E576" s="103"/>
      <c r="F576" s="103"/>
      <c r="G576" s="103"/>
      <c r="H576" s="104"/>
      <c r="I576" s="103"/>
      <c r="J576" s="103"/>
      <c r="K576" s="103"/>
      <c r="L576" s="103"/>
      <c r="M576" s="104"/>
      <c r="N576" s="103"/>
      <c r="O576" s="103"/>
      <c r="P576" s="103"/>
      <c r="Q576" s="103"/>
      <c r="R576" s="103"/>
      <c r="S576" s="103"/>
      <c r="T576" s="103"/>
      <c r="U576" s="103"/>
      <c r="V576" s="103"/>
      <c r="W576" s="103"/>
      <c r="X576" s="103"/>
      <c r="Y576" s="103"/>
    </row>
    <row r="577" spans="3:25" x14ac:dyDescent="0.2">
      <c r="C577" s="103"/>
      <c r="D577" s="103"/>
      <c r="E577" s="103"/>
      <c r="F577" s="103"/>
      <c r="G577" s="103"/>
      <c r="H577" s="104"/>
      <c r="I577" s="103"/>
      <c r="J577" s="103"/>
      <c r="K577" s="103"/>
      <c r="L577" s="103"/>
      <c r="M577" s="104"/>
      <c r="N577" s="103"/>
      <c r="O577" s="103"/>
      <c r="P577" s="103"/>
      <c r="Q577" s="103"/>
      <c r="R577" s="103"/>
      <c r="S577" s="103"/>
      <c r="T577" s="103"/>
      <c r="U577" s="103"/>
      <c r="V577" s="103"/>
      <c r="W577" s="103"/>
      <c r="X577" s="103"/>
      <c r="Y577" s="103"/>
    </row>
    <row r="578" spans="3:25" x14ac:dyDescent="0.2">
      <c r="C578" s="103"/>
      <c r="D578" s="103"/>
      <c r="E578" s="103"/>
      <c r="F578" s="103"/>
      <c r="G578" s="103"/>
      <c r="H578" s="104"/>
      <c r="I578" s="103"/>
      <c r="J578" s="103"/>
      <c r="K578" s="103"/>
      <c r="L578" s="103"/>
      <c r="M578" s="104"/>
      <c r="N578" s="103"/>
      <c r="O578" s="103"/>
      <c r="P578" s="103"/>
      <c r="Q578" s="103"/>
      <c r="R578" s="103"/>
      <c r="S578" s="103"/>
      <c r="T578" s="103"/>
      <c r="U578" s="103"/>
      <c r="V578" s="103"/>
      <c r="W578" s="103"/>
      <c r="X578" s="103"/>
      <c r="Y578" s="103"/>
    </row>
    <row r="579" spans="3:25" x14ac:dyDescent="0.2">
      <c r="C579" s="103"/>
      <c r="D579" s="103"/>
      <c r="E579" s="103"/>
      <c r="F579" s="103"/>
      <c r="G579" s="103"/>
      <c r="H579" s="104"/>
      <c r="I579" s="103"/>
      <c r="J579" s="103"/>
      <c r="K579" s="103"/>
      <c r="L579" s="103"/>
      <c r="M579" s="104"/>
      <c r="N579" s="103"/>
      <c r="O579" s="103"/>
      <c r="P579" s="103"/>
      <c r="Q579" s="103"/>
      <c r="R579" s="103"/>
      <c r="S579" s="103"/>
      <c r="T579" s="103"/>
      <c r="U579" s="103"/>
      <c r="V579" s="103"/>
      <c r="W579" s="103"/>
      <c r="X579" s="103"/>
      <c r="Y579" s="103"/>
    </row>
    <row r="580" spans="3:25" x14ac:dyDescent="0.2">
      <c r="C580" s="103"/>
      <c r="D580" s="103"/>
      <c r="E580" s="103"/>
      <c r="F580" s="103"/>
      <c r="G580" s="103"/>
      <c r="H580" s="104"/>
      <c r="I580" s="103"/>
      <c r="J580" s="103"/>
      <c r="K580" s="103"/>
      <c r="L580" s="103"/>
      <c r="M580" s="104"/>
      <c r="N580" s="103"/>
      <c r="O580" s="103"/>
      <c r="P580" s="103"/>
      <c r="Q580" s="103"/>
      <c r="R580" s="103"/>
      <c r="S580" s="103"/>
      <c r="T580" s="103"/>
      <c r="U580" s="103"/>
      <c r="V580" s="103"/>
      <c r="W580" s="103"/>
      <c r="X580" s="103"/>
      <c r="Y580" s="103"/>
    </row>
    <row r="581" spans="3:25" x14ac:dyDescent="0.2">
      <c r="C581" s="103"/>
      <c r="D581" s="103"/>
      <c r="E581" s="103"/>
      <c r="F581" s="103"/>
      <c r="G581" s="103"/>
      <c r="H581" s="104"/>
      <c r="I581" s="103"/>
      <c r="J581" s="103"/>
      <c r="K581" s="103"/>
      <c r="L581" s="103"/>
      <c r="M581" s="104"/>
      <c r="N581" s="103"/>
      <c r="O581" s="103"/>
      <c r="P581" s="103"/>
      <c r="Q581" s="103"/>
      <c r="R581" s="103"/>
      <c r="S581" s="103"/>
      <c r="T581" s="103"/>
      <c r="U581" s="103"/>
      <c r="V581" s="103"/>
      <c r="W581" s="103"/>
      <c r="X581" s="103"/>
      <c r="Y581" s="103"/>
    </row>
    <row r="582" spans="3:25" x14ac:dyDescent="0.2">
      <c r="C582" s="103"/>
      <c r="D582" s="103"/>
      <c r="E582" s="103"/>
      <c r="F582" s="103"/>
      <c r="G582" s="103"/>
      <c r="H582" s="104"/>
      <c r="I582" s="103"/>
      <c r="J582" s="103"/>
      <c r="K582" s="103"/>
      <c r="L582" s="103"/>
      <c r="M582" s="104"/>
      <c r="N582" s="103"/>
      <c r="O582" s="103"/>
      <c r="P582" s="103"/>
      <c r="Q582" s="103"/>
      <c r="R582" s="103"/>
      <c r="S582" s="103"/>
      <c r="T582" s="103"/>
      <c r="U582" s="103"/>
      <c r="V582" s="103"/>
      <c r="W582" s="103"/>
      <c r="X582" s="103"/>
      <c r="Y582" s="103"/>
    </row>
    <row r="583" spans="3:25" x14ac:dyDescent="0.2">
      <c r="C583" s="103"/>
      <c r="D583" s="103"/>
      <c r="E583" s="103"/>
      <c r="F583" s="103"/>
      <c r="G583" s="103"/>
      <c r="H583" s="104"/>
      <c r="I583" s="103"/>
      <c r="J583" s="103"/>
      <c r="K583" s="103"/>
      <c r="L583" s="103"/>
      <c r="M583" s="104"/>
      <c r="N583" s="103"/>
      <c r="O583" s="103"/>
      <c r="P583" s="103"/>
      <c r="Q583" s="103"/>
      <c r="R583" s="103"/>
      <c r="S583" s="103"/>
      <c r="T583" s="103"/>
      <c r="U583" s="103"/>
      <c r="V583" s="103"/>
      <c r="W583" s="103"/>
      <c r="X583" s="103"/>
      <c r="Y583" s="103"/>
    </row>
    <row r="584" spans="3:25" x14ac:dyDescent="0.2">
      <c r="C584" s="103"/>
      <c r="D584" s="103"/>
      <c r="E584" s="103"/>
      <c r="F584" s="103"/>
      <c r="G584" s="103"/>
      <c r="H584" s="104"/>
      <c r="I584" s="103"/>
      <c r="J584" s="103"/>
      <c r="K584" s="103"/>
      <c r="L584" s="103"/>
      <c r="M584" s="104"/>
      <c r="N584" s="103"/>
      <c r="O584" s="103"/>
      <c r="P584" s="103"/>
      <c r="Q584" s="103"/>
      <c r="R584" s="103"/>
      <c r="S584" s="103"/>
      <c r="T584" s="103"/>
      <c r="U584" s="103"/>
      <c r="V584" s="103"/>
      <c r="W584" s="103"/>
      <c r="X584" s="103"/>
      <c r="Y584" s="103"/>
    </row>
    <row r="585" spans="3:25" x14ac:dyDescent="0.2">
      <c r="C585" s="103"/>
      <c r="D585" s="103"/>
      <c r="E585" s="103"/>
      <c r="F585" s="103"/>
      <c r="G585" s="103"/>
      <c r="H585" s="104"/>
      <c r="I585" s="103"/>
      <c r="J585" s="103"/>
      <c r="K585" s="103"/>
      <c r="L585" s="103"/>
      <c r="M585" s="104"/>
      <c r="N585" s="103"/>
      <c r="O585" s="103"/>
      <c r="P585" s="103"/>
      <c r="Q585" s="103"/>
      <c r="R585" s="103"/>
      <c r="S585" s="103"/>
      <c r="T585" s="103"/>
      <c r="U585" s="103"/>
      <c r="V585" s="103"/>
      <c r="W585" s="103"/>
      <c r="X585" s="103"/>
      <c r="Y585" s="103"/>
    </row>
    <row r="586" spans="3:25" x14ac:dyDescent="0.2">
      <c r="C586" s="103"/>
      <c r="D586" s="103"/>
      <c r="E586" s="103"/>
      <c r="F586" s="103"/>
      <c r="G586" s="103"/>
      <c r="H586" s="104"/>
      <c r="I586" s="103"/>
      <c r="J586" s="103"/>
      <c r="K586" s="103"/>
      <c r="L586" s="103"/>
      <c r="M586" s="104"/>
      <c r="N586" s="103"/>
      <c r="O586" s="103"/>
      <c r="P586" s="103"/>
      <c r="Q586" s="103"/>
      <c r="R586" s="103"/>
      <c r="S586" s="103"/>
      <c r="T586" s="103"/>
      <c r="U586" s="103"/>
      <c r="V586" s="103"/>
      <c r="W586" s="103"/>
      <c r="X586" s="103"/>
      <c r="Y586" s="103"/>
    </row>
    <row r="587" spans="3:25" x14ac:dyDescent="0.2">
      <c r="C587" s="103"/>
      <c r="D587" s="103"/>
      <c r="E587" s="103"/>
      <c r="F587" s="103"/>
      <c r="G587" s="103"/>
      <c r="H587" s="104"/>
      <c r="I587" s="103"/>
      <c r="J587" s="103"/>
      <c r="K587" s="103"/>
      <c r="L587" s="103"/>
      <c r="M587" s="104"/>
      <c r="N587" s="103"/>
      <c r="O587" s="103"/>
      <c r="P587" s="103"/>
      <c r="Q587" s="103"/>
      <c r="R587" s="103"/>
      <c r="S587" s="103"/>
      <c r="T587" s="103"/>
      <c r="U587" s="103"/>
      <c r="V587" s="103"/>
      <c r="W587" s="103"/>
      <c r="X587" s="103"/>
      <c r="Y587" s="103"/>
    </row>
    <row r="588" spans="3:25" x14ac:dyDescent="0.2">
      <c r="C588" s="103"/>
      <c r="D588" s="103"/>
      <c r="E588" s="103"/>
      <c r="F588" s="103"/>
      <c r="G588" s="103"/>
      <c r="H588" s="104"/>
      <c r="I588" s="103"/>
      <c r="J588" s="103"/>
      <c r="K588" s="103"/>
      <c r="L588" s="103"/>
      <c r="M588" s="104"/>
      <c r="N588" s="103"/>
      <c r="O588" s="103"/>
      <c r="P588" s="103"/>
      <c r="Q588" s="103"/>
      <c r="R588" s="103"/>
      <c r="S588" s="103"/>
      <c r="T588" s="103"/>
      <c r="U588" s="103"/>
      <c r="V588" s="103"/>
      <c r="W588" s="103"/>
      <c r="X588" s="103"/>
      <c r="Y588" s="103"/>
    </row>
    <row r="589" spans="3:25" x14ac:dyDescent="0.2">
      <c r="C589" s="103"/>
      <c r="D589" s="103"/>
      <c r="E589" s="103"/>
      <c r="F589" s="103"/>
      <c r="G589" s="103"/>
      <c r="H589" s="104"/>
      <c r="I589" s="103"/>
      <c r="J589" s="103"/>
      <c r="K589" s="103"/>
      <c r="L589" s="103"/>
      <c r="M589" s="104"/>
      <c r="N589" s="103"/>
      <c r="O589" s="103"/>
      <c r="P589" s="103"/>
      <c r="Q589" s="103"/>
      <c r="R589" s="103"/>
      <c r="S589" s="103"/>
      <c r="T589" s="103"/>
      <c r="U589" s="103"/>
      <c r="V589" s="103"/>
      <c r="W589" s="103"/>
      <c r="X589" s="103"/>
      <c r="Y589" s="103"/>
    </row>
    <row r="590" spans="3:25" x14ac:dyDescent="0.2">
      <c r="C590" s="103"/>
      <c r="D590" s="103"/>
      <c r="E590" s="103"/>
      <c r="F590" s="103"/>
      <c r="G590" s="103"/>
      <c r="H590" s="104"/>
      <c r="I590" s="103"/>
      <c r="J590" s="103"/>
      <c r="K590" s="103"/>
      <c r="L590" s="103"/>
      <c r="M590" s="104"/>
      <c r="N590" s="103"/>
      <c r="O590" s="103"/>
      <c r="P590" s="103"/>
      <c r="Q590" s="103"/>
      <c r="R590" s="103"/>
      <c r="S590" s="103"/>
      <c r="T590" s="103"/>
      <c r="U590" s="103"/>
      <c r="V590" s="103"/>
      <c r="W590" s="103"/>
      <c r="X590" s="103"/>
      <c r="Y590" s="103"/>
    </row>
    <row r="591" spans="3:25" x14ac:dyDescent="0.2">
      <c r="C591" s="103"/>
      <c r="D591" s="103"/>
      <c r="E591" s="103"/>
      <c r="F591" s="103"/>
      <c r="G591" s="103"/>
      <c r="H591" s="104"/>
      <c r="I591" s="103"/>
      <c r="J591" s="103"/>
      <c r="K591" s="103"/>
      <c r="L591" s="103"/>
      <c r="M591" s="104"/>
      <c r="N591" s="103"/>
      <c r="O591" s="103"/>
      <c r="P591" s="103"/>
      <c r="Q591" s="103"/>
      <c r="R591" s="103"/>
      <c r="S591" s="103"/>
      <c r="T591" s="103"/>
      <c r="U591" s="103"/>
      <c r="V591" s="103"/>
      <c r="W591" s="103"/>
      <c r="X591" s="103"/>
      <c r="Y591" s="103"/>
    </row>
    <row r="592" spans="3:25" x14ac:dyDescent="0.2">
      <c r="C592" s="103"/>
      <c r="D592" s="103"/>
      <c r="E592" s="103"/>
      <c r="F592" s="103"/>
      <c r="G592" s="103"/>
      <c r="H592" s="104"/>
      <c r="I592" s="103"/>
      <c r="J592" s="103"/>
      <c r="K592" s="103"/>
      <c r="L592" s="103"/>
      <c r="M592" s="104"/>
      <c r="N592" s="103"/>
      <c r="O592" s="103"/>
      <c r="P592" s="103"/>
      <c r="Q592" s="103"/>
      <c r="R592" s="103"/>
      <c r="S592" s="103"/>
      <c r="T592" s="103"/>
      <c r="U592" s="103"/>
      <c r="V592" s="103"/>
      <c r="W592" s="103"/>
      <c r="X592" s="103"/>
      <c r="Y592" s="103"/>
    </row>
    <row r="593" spans="3:25" x14ac:dyDescent="0.2">
      <c r="C593" s="103"/>
      <c r="D593" s="103"/>
      <c r="E593" s="103"/>
      <c r="F593" s="103"/>
      <c r="G593" s="103"/>
      <c r="H593" s="104"/>
      <c r="I593" s="103"/>
      <c r="J593" s="103"/>
      <c r="K593" s="103"/>
      <c r="L593" s="103"/>
      <c r="M593" s="104"/>
      <c r="N593" s="103"/>
      <c r="O593" s="103"/>
      <c r="P593" s="103"/>
      <c r="Q593" s="103"/>
      <c r="R593" s="103"/>
      <c r="S593" s="103"/>
      <c r="T593" s="103"/>
      <c r="U593" s="103"/>
      <c r="V593" s="103"/>
      <c r="W593" s="103"/>
      <c r="X593" s="103"/>
      <c r="Y593" s="103"/>
    </row>
    <row r="594" spans="3:25" x14ac:dyDescent="0.2">
      <c r="C594" s="103"/>
      <c r="D594" s="103"/>
      <c r="E594" s="103"/>
      <c r="F594" s="103"/>
      <c r="G594" s="103"/>
      <c r="H594" s="104"/>
      <c r="I594" s="103"/>
      <c r="J594" s="103"/>
      <c r="K594" s="103"/>
      <c r="L594" s="103"/>
      <c r="M594" s="104"/>
      <c r="N594" s="103"/>
      <c r="O594" s="103"/>
      <c r="P594" s="103"/>
      <c r="Q594" s="103"/>
      <c r="R594" s="103"/>
      <c r="S594" s="103"/>
      <c r="T594" s="103"/>
      <c r="U594" s="103"/>
      <c r="V594" s="103"/>
      <c r="W594" s="103"/>
      <c r="X594" s="103"/>
      <c r="Y594" s="103"/>
    </row>
    <row r="595" spans="3:25" x14ac:dyDescent="0.2">
      <c r="C595" s="103"/>
      <c r="D595" s="103"/>
      <c r="E595" s="103"/>
      <c r="F595" s="103"/>
      <c r="G595" s="103"/>
      <c r="H595" s="104"/>
      <c r="I595" s="103"/>
      <c r="J595" s="103"/>
      <c r="K595" s="103"/>
      <c r="L595" s="103"/>
      <c r="M595" s="104"/>
      <c r="N595" s="103"/>
      <c r="O595" s="103"/>
      <c r="P595" s="103"/>
      <c r="Q595" s="103"/>
      <c r="R595" s="103"/>
      <c r="S595" s="103"/>
      <c r="T595" s="103"/>
      <c r="U595" s="103"/>
      <c r="V595" s="103"/>
      <c r="W595" s="103"/>
      <c r="X595" s="103"/>
      <c r="Y595" s="103"/>
    </row>
    <row r="596" spans="3:25" x14ac:dyDescent="0.2">
      <c r="C596" s="103"/>
      <c r="D596" s="103"/>
      <c r="E596" s="103"/>
      <c r="F596" s="103"/>
      <c r="G596" s="103"/>
      <c r="H596" s="104"/>
      <c r="I596" s="103"/>
      <c r="J596" s="103"/>
      <c r="K596" s="103"/>
      <c r="L596" s="103"/>
      <c r="M596" s="104"/>
      <c r="N596" s="103"/>
      <c r="O596" s="103"/>
      <c r="P596" s="103"/>
      <c r="Q596" s="103"/>
      <c r="R596" s="103"/>
      <c r="S596" s="103"/>
      <c r="T596" s="103"/>
      <c r="U596" s="103"/>
      <c r="V596" s="103"/>
      <c r="W596" s="103"/>
      <c r="X596" s="103"/>
      <c r="Y596" s="103"/>
    </row>
    <row r="597" spans="3:25" x14ac:dyDescent="0.2">
      <c r="C597" s="103"/>
      <c r="D597" s="103"/>
      <c r="E597" s="103"/>
      <c r="F597" s="103"/>
      <c r="G597" s="103"/>
      <c r="H597" s="104"/>
      <c r="I597" s="103"/>
      <c r="J597" s="103"/>
      <c r="K597" s="103"/>
      <c r="L597" s="103"/>
      <c r="M597" s="104"/>
      <c r="N597" s="103"/>
      <c r="O597" s="103"/>
      <c r="P597" s="103"/>
      <c r="Q597" s="103"/>
      <c r="R597" s="103"/>
      <c r="S597" s="103"/>
      <c r="T597" s="103"/>
      <c r="U597" s="103"/>
      <c r="V597" s="103"/>
      <c r="W597" s="103"/>
      <c r="X597" s="103"/>
      <c r="Y597" s="103"/>
    </row>
    <row r="598" spans="3:25" x14ac:dyDescent="0.2">
      <c r="C598" s="103"/>
      <c r="D598" s="103"/>
      <c r="E598" s="103"/>
      <c r="F598" s="103"/>
      <c r="G598" s="103"/>
      <c r="H598" s="104"/>
      <c r="I598" s="103"/>
      <c r="J598" s="103"/>
      <c r="K598" s="103"/>
      <c r="L598" s="103"/>
      <c r="M598" s="104"/>
      <c r="N598" s="103"/>
      <c r="O598" s="103"/>
      <c r="P598" s="103"/>
      <c r="Q598" s="103"/>
      <c r="R598" s="103"/>
      <c r="S598" s="103"/>
      <c r="T598" s="103"/>
      <c r="U598" s="103"/>
      <c r="V598" s="103"/>
      <c r="W598" s="103"/>
      <c r="X598" s="103"/>
      <c r="Y598" s="103"/>
    </row>
    <row r="599" spans="3:25" x14ac:dyDescent="0.2">
      <c r="C599" s="103"/>
      <c r="D599" s="103"/>
      <c r="E599" s="103"/>
      <c r="F599" s="103"/>
      <c r="G599" s="103"/>
      <c r="H599" s="104"/>
      <c r="I599" s="103"/>
      <c r="J599" s="103"/>
      <c r="K599" s="103"/>
      <c r="L599" s="103"/>
      <c r="M599" s="104"/>
      <c r="N599" s="103"/>
      <c r="O599" s="103"/>
      <c r="P599" s="103"/>
      <c r="Q599" s="103"/>
      <c r="R599" s="103"/>
      <c r="S599" s="103"/>
      <c r="T599" s="103"/>
      <c r="U599" s="103"/>
      <c r="V599" s="103"/>
      <c r="W599" s="103"/>
      <c r="X599" s="103"/>
      <c r="Y599" s="103"/>
    </row>
    <row r="600" spans="3:25" x14ac:dyDescent="0.2">
      <c r="C600" s="103"/>
      <c r="D600" s="103"/>
      <c r="E600" s="103"/>
      <c r="F600" s="103"/>
      <c r="G600" s="103"/>
      <c r="H600" s="104"/>
      <c r="I600" s="103"/>
      <c r="J600" s="103"/>
      <c r="K600" s="103"/>
      <c r="L600" s="103"/>
      <c r="M600" s="104"/>
      <c r="N600" s="103"/>
      <c r="O600" s="103"/>
      <c r="P600" s="103"/>
      <c r="Q600" s="103"/>
      <c r="R600" s="103"/>
      <c r="S600" s="103"/>
      <c r="T600" s="103"/>
      <c r="U600" s="103"/>
      <c r="V600" s="103"/>
      <c r="W600" s="103"/>
      <c r="X600" s="103"/>
      <c r="Y600" s="103"/>
    </row>
    <row r="601" spans="3:25" x14ac:dyDescent="0.2">
      <c r="C601" s="103"/>
      <c r="D601" s="103"/>
      <c r="E601" s="103"/>
      <c r="F601" s="103"/>
      <c r="G601" s="103"/>
      <c r="H601" s="104"/>
      <c r="I601" s="103"/>
      <c r="J601" s="103"/>
      <c r="K601" s="103"/>
      <c r="L601" s="103"/>
      <c r="M601" s="104"/>
      <c r="N601" s="103"/>
      <c r="O601" s="103"/>
      <c r="P601" s="103"/>
      <c r="Q601" s="103"/>
      <c r="R601" s="103"/>
      <c r="S601" s="103"/>
      <c r="T601" s="103"/>
      <c r="U601" s="103"/>
      <c r="V601" s="103"/>
      <c r="W601" s="103"/>
      <c r="X601" s="103"/>
      <c r="Y601" s="103"/>
    </row>
    <row r="602" spans="3:25" x14ac:dyDescent="0.2">
      <c r="C602" s="103"/>
      <c r="D602" s="103"/>
      <c r="E602" s="103"/>
      <c r="F602" s="103"/>
      <c r="G602" s="103"/>
      <c r="H602" s="104"/>
      <c r="I602" s="103"/>
      <c r="J602" s="103"/>
      <c r="K602" s="103"/>
      <c r="L602" s="103"/>
      <c r="M602" s="104"/>
      <c r="N602" s="103"/>
      <c r="O602" s="103"/>
      <c r="P602" s="103"/>
      <c r="Q602" s="103"/>
      <c r="R602" s="103"/>
      <c r="S602" s="103"/>
      <c r="T602" s="103"/>
      <c r="U602" s="103"/>
      <c r="V602" s="103"/>
      <c r="W602" s="103"/>
      <c r="X602" s="103"/>
      <c r="Y602" s="103"/>
    </row>
    <row r="603" spans="3:25" x14ac:dyDescent="0.2">
      <c r="C603" s="103"/>
      <c r="D603" s="103"/>
      <c r="E603" s="103"/>
      <c r="F603" s="103"/>
      <c r="G603" s="103"/>
      <c r="H603" s="104"/>
      <c r="I603" s="103"/>
      <c r="J603" s="103"/>
      <c r="K603" s="103"/>
      <c r="L603" s="103"/>
      <c r="M603" s="104"/>
      <c r="N603" s="103"/>
      <c r="O603" s="103"/>
      <c r="P603" s="103"/>
      <c r="Q603" s="103"/>
      <c r="R603" s="103"/>
      <c r="S603" s="103"/>
      <c r="T603" s="103"/>
      <c r="U603" s="103"/>
      <c r="V603" s="103"/>
      <c r="W603" s="103"/>
      <c r="X603" s="103"/>
      <c r="Y603" s="103"/>
    </row>
    <row r="604" spans="3:25" x14ac:dyDescent="0.2">
      <c r="C604" s="103"/>
      <c r="D604" s="103"/>
      <c r="E604" s="103"/>
      <c r="F604" s="103"/>
      <c r="G604" s="103"/>
      <c r="H604" s="104"/>
      <c r="I604" s="103"/>
      <c r="J604" s="103"/>
      <c r="K604" s="103"/>
      <c r="L604" s="103"/>
      <c r="M604" s="104"/>
      <c r="N604" s="103"/>
      <c r="O604" s="103"/>
      <c r="P604" s="103"/>
      <c r="Q604" s="103"/>
      <c r="R604" s="103"/>
      <c r="S604" s="103"/>
      <c r="T604" s="103"/>
      <c r="U604" s="103"/>
      <c r="V604" s="103"/>
      <c r="W604" s="103"/>
      <c r="X604" s="103"/>
      <c r="Y604" s="103"/>
    </row>
    <row r="605" spans="3:25" x14ac:dyDescent="0.2">
      <c r="C605" s="103"/>
      <c r="D605" s="103"/>
      <c r="E605" s="103"/>
      <c r="F605" s="103"/>
      <c r="G605" s="103"/>
      <c r="H605" s="104"/>
      <c r="I605" s="103"/>
      <c r="J605" s="103"/>
      <c r="K605" s="103"/>
      <c r="L605" s="103"/>
      <c r="M605" s="104"/>
      <c r="N605" s="103"/>
      <c r="O605" s="103"/>
      <c r="P605" s="103"/>
      <c r="Q605" s="103"/>
      <c r="R605" s="103"/>
      <c r="S605" s="103"/>
      <c r="T605" s="103"/>
      <c r="U605" s="103"/>
      <c r="V605" s="103"/>
      <c r="W605" s="103"/>
      <c r="X605" s="103"/>
      <c r="Y605" s="103"/>
    </row>
    <row r="606" spans="3:25" x14ac:dyDescent="0.2">
      <c r="C606" s="103"/>
      <c r="D606" s="103"/>
      <c r="E606" s="103"/>
      <c r="F606" s="103"/>
      <c r="G606" s="103"/>
      <c r="H606" s="104"/>
      <c r="I606" s="103"/>
      <c r="J606" s="103"/>
      <c r="K606" s="103"/>
      <c r="L606" s="103"/>
      <c r="M606" s="104"/>
      <c r="N606" s="103"/>
      <c r="O606" s="103"/>
      <c r="P606" s="103"/>
      <c r="Q606" s="103"/>
      <c r="R606" s="103"/>
      <c r="S606" s="103"/>
      <c r="T606" s="103"/>
      <c r="U606" s="103"/>
      <c r="V606" s="103"/>
      <c r="W606" s="103"/>
      <c r="X606" s="103"/>
      <c r="Y606" s="103"/>
    </row>
    <row r="607" spans="3:25" x14ac:dyDescent="0.2">
      <c r="C607" s="103"/>
      <c r="D607" s="103"/>
      <c r="E607" s="103"/>
      <c r="F607" s="103"/>
      <c r="G607" s="103"/>
      <c r="H607" s="104"/>
      <c r="I607" s="103"/>
      <c r="J607" s="103"/>
      <c r="K607" s="103"/>
      <c r="L607" s="103"/>
      <c r="M607" s="104"/>
      <c r="N607" s="103"/>
      <c r="O607" s="103"/>
      <c r="P607" s="103"/>
      <c r="Q607" s="103"/>
      <c r="R607" s="103"/>
      <c r="S607" s="103"/>
      <c r="T607" s="103"/>
      <c r="U607" s="103"/>
      <c r="V607" s="103"/>
      <c r="W607" s="103"/>
      <c r="X607" s="103"/>
      <c r="Y607" s="103"/>
    </row>
    <row r="608" spans="3:25" x14ac:dyDescent="0.2">
      <c r="C608" s="103"/>
      <c r="D608" s="103"/>
      <c r="E608" s="103"/>
      <c r="F608" s="103"/>
      <c r="G608" s="103"/>
      <c r="H608" s="104"/>
      <c r="I608" s="103"/>
      <c r="J608" s="103"/>
      <c r="K608" s="103"/>
      <c r="L608" s="103"/>
      <c r="M608" s="104"/>
      <c r="N608" s="103"/>
      <c r="O608" s="103"/>
      <c r="P608" s="103"/>
      <c r="Q608" s="103"/>
      <c r="R608" s="103"/>
      <c r="S608" s="103"/>
      <c r="T608" s="103"/>
      <c r="U608" s="103"/>
      <c r="V608" s="103"/>
      <c r="W608" s="103"/>
      <c r="X608" s="103"/>
      <c r="Y608" s="103"/>
    </row>
  </sheetData>
  <sheetProtection algorithmName="SHA-512" hashValue="PgwM8sJj4M2cdsQJryVpCC3sn8xbV4acFJvthT/4kHuq+v6QqbGTwIk+X7jwCMVRO8zMXmoohgrulFRVzo+lTg==" saltValue="n5YWR9J1uSx0wUqII9bwUA==" spinCount="100000" sheet="1" selectLockedCells="1"/>
  <mergeCells count="23">
    <mergeCell ref="C1:F5"/>
    <mergeCell ref="D54:E54"/>
    <mergeCell ref="H25:J28"/>
    <mergeCell ref="H11:I11"/>
    <mergeCell ref="H19:J22"/>
    <mergeCell ref="B6:S6"/>
    <mergeCell ref="A7:S7"/>
    <mergeCell ref="M29:N29"/>
    <mergeCell ref="O21:S21"/>
    <mergeCell ref="F54:G54"/>
    <mergeCell ref="H54:I54"/>
    <mergeCell ref="X232:Y232"/>
    <mergeCell ref="Z232:AA232"/>
    <mergeCell ref="C126:S126"/>
    <mergeCell ref="C125:N125"/>
    <mergeCell ref="H66:I66"/>
    <mergeCell ref="C128:S128"/>
    <mergeCell ref="C129:S129"/>
    <mergeCell ref="F55:G55"/>
    <mergeCell ref="C66:D66"/>
    <mergeCell ref="H63:I63"/>
    <mergeCell ref="H65:I65"/>
    <mergeCell ref="G71:I71"/>
  </mergeCells>
  <phoneticPr fontId="2" type="noConversion"/>
  <conditionalFormatting sqref="H119:I120">
    <cfRule type="cellIs" dxfId="18" priority="28" stopIfTrue="1" operator="lessThan">
      <formula>0</formula>
    </cfRule>
    <cfRule type="cellIs" dxfId="17" priority="29" stopIfTrue="1" operator="greaterThan">
      <formula>0</formula>
    </cfRule>
  </conditionalFormatting>
  <conditionalFormatting sqref="G67 H66:I66 G65:I65">
    <cfRule type="expression" dxfId="16" priority="46" stopIfTrue="1">
      <formula>$H$63&lt;&gt;$C$168</formula>
    </cfRule>
  </conditionalFormatting>
  <conditionalFormatting sqref="C71">
    <cfRule type="expression" dxfId="15" priority="53" stopIfTrue="1">
      <formula>$H$63="Überschusseinspeisung"</formula>
    </cfRule>
    <cfRule type="expression" dxfId="14" priority="54" stopIfTrue="1">
      <formula>$H$63="Einspeisetarif"</formula>
    </cfRule>
  </conditionalFormatting>
  <conditionalFormatting sqref="C124:C126">
    <cfRule type="expression" dxfId="13" priority="55" stopIfTrue="1">
      <formula>$G$64="*"</formula>
    </cfRule>
  </conditionalFormatting>
  <conditionalFormatting sqref="B71">
    <cfRule type="expression" dxfId="12" priority="16" stopIfTrue="1">
      <formula>$H$63="Überschusseinspeisung"</formula>
    </cfRule>
    <cfRule type="expression" dxfId="11" priority="17" stopIfTrue="1">
      <formula>$H$63="Einspeisetarif"</formula>
    </cfRule>
  </conditionalFormatting>
  <conditionalFormatting sqref="H88">
    <cfRule type="expression" dxfId="10" priority="15" stopIfTrue="1">
      <formula>$H$87=100%</formula>
    </cfRule>
  </conditionalFormatting>
  <conditionalFormatting sqref="I87">
    <cfRule type="expression" dxfId="9" priority="14" stopIfTrue="1">
      <formula>$H$87=100%</formula>
    </cfRule>
  </conditionalFormatting>
  <conditionalFormatting sqref="I88">
    <cfRule type="expression" dxfId="8" priority="12" stopIfTrue="1">
      <formula>$H$87=100%</formula>
    </cfRule>
  </conditionalFormatting>
  <conditionalFormatting sqref="H87">
    <cfRule type="expression" dxfId="7" priority="11" stopIfTrue="1">
      <formula>$H$87&lt;100%</formula>
    </cfRule>
  </conditionalFormatting>
  <conditionalFormatting sqref="J91:J92">
    <cfRule type="expression" dxfId="6" priority="10" stopIfTrue="1">
      <formula>$H$87&lt;100%</formula>
    </cfRule>
  </conditionalFormatting>
  <conditionalFormatting sqref="AB29:AD39">
    <cfRule type="colorScale" priority="5">
      <colorScale>
        <cfvo type="min"/>
        <cfvo type="percentile" val="50"/>
        <cfvo type="max"/>
        <color rgb="FFF8696B"/>
        <color rgb="FFFFEB84"/>
        <color rgb="FF63BE7B"/>
      </colorScale>
    </cfRule>
  </conditionalFormatting>
  <conditionalFormatting sqref="C66">
    <cfRule type="expression" dxfId="5" priority="3">
      <formula>$H$186=$D$213</formula>
    </cfRule>
  </conditionalFormatting>
  <conditionalFormatting sqref="C66:D66">
    <cfRule type="expression" dxfId="4" priority="2">
      <formula>$H$186=$D$217</formula>
    </cfRule>
  </conditionalFormatting>
  <conditionalFormatting sqref="G72:H72 D72:F79">
    <cfRule type="expression" dxfId="3" priority="59" stopIfTrue="1">
      <formula>$H$63="Einspeisetarif"</formula>
    </cfRule>
    <cfRule type="expression" dxfId="2" priority="60" stopIfTrue="1">
      <formula>$H$63="Fördertarif"&amp;$H$66="Einspeisetarif"</formula>
    </cfRule>
  </conditionalFormatting>
  <conditionalFormatting sqref="G73:I79">
    <cfRule type="expression" dxfId="1" priority="63" stopIfTrue="1">
      <formula>$H$63="Einspeisetarif"</formula>
    </cfRule>
    <cfRule type="expression" dxfId="0" priority="64" stopIfTrue="1">
      <formula>AND($H$63="Fördertarif",$H$66="Einspeisetarif")</formula>
    </cfRule>
  </conditionalFormatting>
  <dataValidations count="7">
    <dataValidation type="list" allowBlank="1" showInputMessage="1" showErrorMessage="1" sqref="H23" xr:uid="{00000000-0002-0000-0200-000000000000}">
      <formula1>$I$169:$I$181</formula1>
    </dataValidation>
    <dataValidation type="list" allowBlank="1" showInputMessage="1" showErrorMessage="1" sqref="H29:H32" xr:uid="{00000000-0002-0000-0200-000001000000}">
      <formula1>$G$169:$G$175</formula1>
    </dataValidation>
    <dataValidation type="list" allowBlank="1" showInputMessage="1" showErrorMessage="1" sqref="H65:I66" xr:uid="{00000000-0002-0000-0200-000002000000}">
      <formula1>$C$199:$C$200</formula1>
    </dataValidation>
    <dataValidation type="list" allowBlank="1" showInputMessage="1" showErrorMessage="1" sqref="C55" xr:uid="{00000000-0002-0000-0200-000003000000}">
      <formula1>$C$222:$C$224</formula1>
    </dataValidation>
    <dataValidation type="list" allowBlank="1" showInputMessage="1" showErrorMessage="1" sqref="C57" xr:uid="{00000000-0002-0000-0200-000004000000}">
      <formula1>$C$196:$C$198</formula1>
    </dataValidation>
    <dataValidation type="list" allowBlank="1" showInputMessage="1" showErrorMessage="1" sqref="G95" xr:uid="{00000000-0002-0000-0200-000005000000}">
      <formula1>$C$187:$C$190</formula1>
    </dataValidation>
    <dataValidation type="list" allowBlank="1" showInputMessage="1" showErrorMessage="1" sqref="H63:I63" xr:uid="{00000000-0002-0000-0200-000006000000}">
      <formula1>$C$170:$C$172</formula1>
    </dataValidation>
  </dataValidations>
  <hyperlinks>
    <hyperlink ref="C125" r:id="rId1" xr:uid="{00000000-0004-0000-0200-000000000000}"/>
    <hyperlink ref="G71" r:id="rId2" xr:uid="{00000000-0004-0000-0200-000001000000}"/>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22"/>
  </sheetPr>
  <dimension ref="A1:AJ52"/>
  <sheetViews>
    <sheetView showRowColHeaders="0" zoomScale="80" zoomScaleNormal="80" zoomScaleSheetLayoutView="100" workbookViewId="0">
      <selection activeCell="C79" sqref="C79"/>
    </sheetView>
  </sheetViews>
  <sheetFormatPr baseColWidth="10" defaultColWidth="11.28515625" defaultRowHeight="12.75" x14ac:dyDescent="0.2"/>
  <cols>
    <col min="1" max="1" width="0.85546875" style="1" customWidth="1"/>
    <col min="2" max="2" width="4.85546875" style="1" customWidth="1"/>
    <col min="3" max="3" width="4.28515625" style="1" customWidth="1"/>
    <col min="4" max="5" width="7.7109375" style="1" bestFit="1" customWidth="1"/>
    <col min="6" max="6" width="8.85546875" style="1" bestFit="1" customWidth="1"/>
    <col min="7" max="9" width="7.7109375" style="1" bestFit="1" customWidth="1"/>
    <col min="10" max="10" width="7" style="1" customWidth="1"/>
    <col min="11" max="16" width="7.7109375" style="1" bestFit="1" customWidth="1"/>
    <col min="17" max="17" width="4.7109375" style="1" bestFit="1" customWidth="1"/>
    <col min="18" max="18" width="8.7109375" style="1" bestFit="1" customWidth="1"/>
    <col min="19" max="19" width="7.28515625" style="1" bestFit="1" customWidth="1"/>
    <col min="20" max="25" width="11.28515625" style="1"/>
    <col min="26" max="26" width="2.85546875" style="1" customWidth="1"/>
    <col min="27" max="16384" width="11.28515625" style="1"/>
  </cols>
  <sheetData>
    <row r="1" spans="1:36" x14ac:dyDescent="0.2">
      <c r="A1" s="124"/>
    </row>
    <row r="2" spans="1:36" x14ac:dyDescent="0.2">
      <c r="A2" s="124"/>
      <c r="Z2" s="116"/>
      <c r="AA2" s="116"/>
      <c r="AB2" s="116"/>
      <c r="AC2" s="116"/>
      <c r="AD2" s="116"/>
      <c r="AE2" s="116"/>
      <c r="AF2" s="116"/>
      <c r="AG2" s="116">
        <f>HLOOKUP(AD13,D6:P7,2,TRUE)</f>
        <v>8</v>
      </c>
      <c r="AH2" s="116"/>
      <c r="AI2" s="116"/>
    </row>
    <row r="3" spans="1:36" x14ac:dyDescent="0.2">
      <c r="A3" s="124"/>
      <c r="Z3" s="116"/>
      <c r="AA3" s="116"/>
      <c r="AB3" s="116"/>
      <c r="AC3" s="116"/>
      <c r="AD3" s="116"/>
      <c r="AE3" s="116"/>
      <c r="AF3" s="116"/>
      <c r="AG3" s="116"/>
      <c r="AH3" s="116"/>
      <c r="AI3" s="116"/>
      <c r="AJ3" s="299"/>
    </row>
    <row r="4" spans="1:36" x14ac:dyDescent="0.2">
      <c r="A4" s="124"/>
      <c r="B4" s="124"/>
      <c r="C4" s="124"/>
      <c r="D4" s="124"/>
      <c r="E4" s="124"/>
      <c r="F4" s="124"/>
      <c r="G4" s="124"/>
      <c r="H4" s="124"/>
      <c r="I4" s="124"/>
      <c r="J4" s="124"/>
      <c r="K4" s="124"/>
      <c r="L4" s="124"/>
      <c r="M4" s="124"/>
      <c r="N4" s="124"/>
      <c r="O4" s="124"/>
      <c r="P4" s="124"/>
      <c r="Q4" s="124"/>
      <c r="R4" s="124"/>
      <c r="S4" s="124"/>
      <c r="T4" s="124"/>
      <c r="U4" s="124"/>
      <c r="V4" s="124"/>
      <c r="W4" s="124"/>
      <c r="X4" s="124"/>
      <c r="Y4" s="124"/>
      <c r="Z4" s="116"/>
      <c r="AA4" s="116" t="s">
        <v>2104</v>
      </c>
      <c r="AB4" s="116">
        <v>78</v>
      </c>
      <c r="AC4" s="116">
        <f t="shared" ref="AC4:AC10" si="0">C8</f>
        <v>0</v>
      </c>
      <c r="AD4" s="116">
        <f>VLOOKUP(AB4,AC4:AC10,1)</f>
        <v>75</v>
      </c>
      <c r="AE4" s="116" t="s">
        <v>2615</v>
      </c>
      <c r="AF4" s="116">
        <f>AB4-AD4</f>
        <v>3</v>
      </c>
      <c r="AG4" s="116">
        <f>VLOOKUP(AD5,C6:P14,AG2,TRUE)</f>
        <v>65</v>
      </c>
      <c r="AH4" s="116"/>
      <c r="AI4" s="116"/>
      <c r="AJ4" s="299">
        <f>HLOOKUP(AB4,C6:P14,3,TRUE)</f>
        <v>85</v>
      </c>
    </row>
    <row r="5" spans="1:36" ht="18" x14ac:dyDescent="0.2">
      <c r="A5" s="124"/>
      <c r="B5" s="342"/>
      <c r="C5" s="343"/>
      <c r="D5" s="344" t="s">
        <v>2368</v>
      </c>
      <c r="E5" s="344"/>
      <c r="F5" s="344"/>
      <c r="G5" s="344"/>
      <c r="H5" s="344"/>
      <c r="I5" s="344"/>
      <c r="J5" s="344" t="s">
        <v>2105</v>
      </c>
      <c r="K5" s="344"/>
      <c r="L5" s="344"/>
      <c r="M5" s="344"/>
      <c r="N5" s="344"/>
      <c r="O5" s="344"/>
      <c r="P5" s="345" t="s">
        <v>2369</v>
      </c>
      <c r="Q5" s="115"/>
      <c r="R5" s="115"/>
      <c r="S5" s="137" t="s">
        <v>2106</v>
      </c>
      <c r="T5" s="115"/>
      <c r="U5" s="115"/>
      <c r="V5" s="115"/>
      <c r="W5" s="115"/>
      <c r="X5" s="115"/>
      <c r="Y5" s="115"/>
      <c r="Z5" s="115"/>
      <c r="AA5" s="116"/>
      <c r="AB5" s="116">
        <f t="shared" ref="AB5:AB10" si="1">AB4</f>
        <v>78</v>
      </c>
      <c r="AC5" s="116">
        <f t="shared" si="0"/>
        <v>15</v>
      </c>
      <c r="AD5" s="116">
        <f>AD4+15</f>
        <v>90</v>
      </c>
      <c r="AE5" s="116" t="s">
        <v>2616</v>
      </c>
      <c r="AF5" s="116">
        <f>AD5-AB4</f>
        <v>12</v>
      </c>
      <c r="AG5" s="116"/>
      <c r="AH5" s="116"/>
      <c r="AI5" s="116"/>
      <c r="AJ5" s="299">
        <f>VLOOKUP(AB13,C6:P14,1,TRUE)</f>
        <v>15</v>
      </c>
    </row>
    <row r="6" spans="1:36" x14ac:dyDescent="0.2">
      <c r="A6" s="124"/>
      <c r="B6" s="346"/>
      <c r="C6" s="305"/>
      <c r="D6" s="306">
        <v>-90</v>
      </c>
      <c r="E6" s="306">
        <v>-75</v>
      </c>
      <c r="F6" s="306">
        <v>-60</v>
      </c>
      <c r="G6" s="306">
        <v>-45</v>
      </c>
      <c r="H6" s="306">
        <v>-30</v>
      </c>
      <c r="I6" s="306">
        <v>-15</v>
      </c>
      <c r="J6" s="306">
        <v>0</v>
      </c>
      <c r="K6" s="306">
        <v>15</v>
      </c>
      <c r="L6" s="306">
        <v>30</v>
      </c>
      <c r="M6" s="306">
        <v>45</v>
      </c>
      <c r="N6" s="306">
        <v>60</v>
      </c>
      <c r="O6" s="306">
        <v>75</v>
      </c>
      <c r="P6" s="347">
        <v>90</v>
      </c>
      <c r="Q6" s="115"/>
      <c r="R6" s="115"/>
      <c r="S6" s="117">
        <v>55</v>
      </c>
      <c r="T6" s="115"/>
      <c r="U6" s="115"/>
      <c r="V6" s="115"/>
      <c r="W6" s="115"/>
      <c r="X6" s="115"/>
      <c r="Y6" s="115"/>
      <c r="Z6" s="115"/>
      <c r="AA6" s="116"/>
      <c r="AB6" s="116">
        <f t="shared" si="1"/>
        <v>78</v>
      </c>
      <c r="AC6" s="116">
        <f t="shared" si="0"/>
        <v>30</v>
      </c>
      <c r="AD6" s="116"/>
      <c r="AE6" s="116"/>
      <c r="AF6" s="116"/>
      <c r="AG6" s="116"/>
      <c r="AH6" s="116"/>
      <c r="AI6" s="116"/>
      <c r="AJ6" s="299"/>
    </row>
    <row r="7" spans="1:36" x14ac:dyDescent="0.2">
      <c r="A7" s="124"/>
      <c r="B7" s="346"/>
      <c r="C7" s="307"/>
      <c r="D7" s="308">
        <v>1</v>
      </c>
      <c r="E7" s="308">
        <v>2</v>
      </c>
      <c r="F7" s="308">
        <v>3</v>
      </c>
      <c r="G7" s="308">
        <v>4</v>
      </c>
      <c r="H7" s="308">
        <v>5</v>
      </c>
      <c r="I7" s="308">
        <v>6</v>
      </c>
      <c r="J7" s="308">
        <v>7</v>
      </c>
      <c r="K7" s="308">
        <v>8</v>
      </c>
      <c r="L7" s="308">
        <v>9</v>
      </c>
      <c r="M7" s="308">
        <v>10</v>
      </c>
      <c r="N7" s="308">
        <v>11</v>
      </c>
      <c r="O7" s="308">
        <v>12</v>
      </c>
      <c r="P7" s="348">
        <v>13</v>
      </c>
      <c r="Q7" s="115"/>
      <c r="R7" s="115"/>
      <c r="S7" s="338">
        <v>65</v>
      </c>
      <c r="T7" s="115"/>
      <c r="U7" s="115"/>
      <c r="V7" s="115"/>
      <c r="W7" s="115"/>
      <c r="X7" s="339"/>
      <c r="Y7" s="115"/>
      <c r="Z7" s="115"/>
      <c r="AA7" s="116"/>
      <c r="AB7" s="116">
        <f t="shared" si="1"/>
        <v>78</v>
      </c>
      <c r="AC7" s="116">
        <f t="shared" si="0"/>
        <v>45</v>
      </c>
      <c r="AD7" s="116"/>
      <c r="AE7" s="116"/>
      <c r="AF7" s="116"/>
      <c r="AG7" s="116"/>
      <c r="AH7" s="116"/>
      <c r="AI7" s="116"/>
      <c r="AJ7" s="299"/>
    </row>
    <row r="8" spans="1:36" x14ac:dyDescent="0.2">
      <c r="A8" s="124"/>
      <c r="B8" s="515" t="s">
        <v>2104</v>
      </c>
      <c r="C8" s="340">
        <v>0</v>
      </c>
      <c r="D8" s="309">
        <v>85</v>
      </c>
      <c r="E8" s="309">
        <v>85</v>
      </c>
      <c r="F8" s="309">
        <v>85</v>
      </c>
      <c r="G8" s="309">
        <v>85</v>
      </c>
      <c r="H8" s="309">
        <v>85</v>
      </c>
      <c r="I8" s="309">
        <v>85</v>
      </c>
      <c r="J8" s="309">
        <v>85</v>
      </c>
      <c r="K8" s="309">
        <v>85</v>
      </c>
      <c r="L8" s="309">
        <v>85</v>
      </c>
      <c r="M8" s="309">
        <v>85</v>
      </c>
      <c r="N8" s="309">
        <v>85</v>
      </c>
      <c r="O8" s="309">
        <v>85</v>
      </c>
      <c r="P8" s="349">
        <v>85</v>
      </c>
      <c r="Q8" s="115"/>
      <c r="R8" s="115"/>
      <c r="S8" s="338">
        <v>75</v>
      </c>
      <c r="T8" s="115"/>
      <c r="U8" s="115"/>
      <c r="V8" s="115"/>
      <c r="W8" s="115"/>
      <c r="X8" s="115"/>
      <c r="Y8" s="115"/>
      <c r="Z8" s="115"/>
      <c r="AA8" s="116"/>
      <c r="AB8" s="116">
        <f t="shared" si="1"/>
        <v>78</v>
      </c>
      <c r="AC8" s="116">
        <f t="shared" si="0"/>
        <v>60</v>
      </c>
      <c r="AD8" s="116"/>
      <c r="AE8" s="116"/>
      <c r="AF8" s="116"/>
      <c r="AG8" s="116"/>
      <c r="AH8" s="116"/>
      <c r="AI8" s="116"/>
    </row>
    <row r="9" spans="1:36" x14ac:dyDescent="0.2">
      <c r="A9" s="124"/>
      <c r="B9" s="516"/>
      <c r="C9" s="340">
        <v>15</v>
      </c>
      <c r="D9" s="309">
        <v>85</v>
      </c>
      <c r="E9" s="309">
        <v>85</v>
      </c>
      <c r="F9" s="309">
        <v>85</v>
      </c>
      <c r="G9" s="310">
        <v>95</v>
      </c>
      <c r="H9" s="310">
        <v>95</v>
      </c>
      <c r="I9" s="310">
        <v>95</v>
      </c>
      <c r="J9" s="310">
        <v>95</v>
      </c>
      <c r="K9" s="310">
        <v>95</v>
      </c>
      <c r="L9" s="310">
        <v>95</v>
      </c>
      <c r="M9" s="310">
        <v>95</v>
      </c>
      <c r="N9" s="309">
        <v>85</v>
      </c>
      <c r="O9" s="309">
        <v>85</v>
      </c>
      <c r="P9" s="349">
        <v>85</v>
      </c>
      <c r="Q9" s="115"/>
      <c r="R9" s="115"/>
      <c r="S9" s="338">
        <v>85</v>
      </c>
      <c r="T9" s="115"/>
      <c r="U9" s="115"/>
      <c r="V9" s="115"/>
      <c r="W9" s="115"/>
      <c r="X9" s="115" t="s">
        <v>2168</v>
      </c>
      <c r="Y9" s="115"/>
      <c r="Z9" s="115"/>
      <c r="AA9" s="116"/>
      <c r="AB9" s="116">
        <f t="shared" si="1"/>
        <v>78</v>
      </c>
      <c r="AC9" s="116">
        <f t="shared" si="0"/>
        <v>75</v>
      </c>
      <c r="AD9" s="116"/>
      <c r="AE9" s="116"/>
      <c r="AF9" s="116"/>
      <c r="AG9" s="116"/>
      <c r="AH9" s="116"/>
      <c r="AI9" s="116"/>
    </row>
    <row r="10" spans="1:36" x14ac:dyDescent="0.2">
      <c r="A10" s="124"/>
      <c r="B10" s="516"/>
      <c r="C10" s="340">
        <v>30</v>
      </c>
      <c r="D10" s="309">
        <v>85</v>
      </c>
      <c r="E10" s="309">
        <v>85</v>
      </c>
      <c r="F10" s="309">
        <v>85</v>
      </c>
      <c r="G10" s="310">
        <v>95</v>
      </c>
      <c r="H10" s="310">
        <v>95</v>
      </c>
      <c r="I10" s="310">
        <v>95</v>
      </c>
      <c r="J10" s="311">
        <v>100</v>
      </c>
      <c r="K10" s="310">
        <v>95</v>
      </c>
      <c r="L10" s="310">
        <v>95</v>
      </c>
      <c r="M10" s="310">
        <v>95</v>
      </c>
      <c r="N10" s="309">
        <v>85</v>
      </c>
      <c r="O10" s="309">
        <v>85</v>
      </c>
      <c r="P10" s="349">
        <v>85</v>
      </c>
      <c r="Q10" s="115"/>
      <c r="R10" s="115"/>
      <c r="S10" s="338">
        <v>95</v>
      </c>
      <c r="T10" s="115"/>
      <c r="U10" s="115"/>
      <c r="V10" s="115"/>
      <c r="W10" s="115"/>
      <c r="X10" s="115"/>
      <c r="Y10" s="115"/>
      <c r="Z10" s="115"/>
      <c r="AA10" s="116"/>
      <c r="AB10" s="116">
        <f t="shared" si="1"/>
        <v>78</v>
      </c>
      <c r="AC10" s="116">
        <f t="shared" si="0"/>
        <v>90</v>
      </c>
      <c r="AD10" s="116"/>
      <c r="AE10" s="116"/>
      <c r="AF10" s="116"/>
      <c r="AG10" s="116"/>
      <c r="AH10" s="116"/>
      <c r="AI10" s="116"/>
    </row>
    <row r="11" spans="1:36" x14ac:dyDescent="0.2">
      <c r="A11" s="124"/>
      <c r="B11" s="516"/>
      <c r="C11" s="340">
        <v>45</v>
      </c>
      <c r="D11" s="312">
        <v>75</v>
      </c>
      <c r="E11" s="309">
        <v>85</v>
      </c>
      <c r="F11" s="309">
        <v>85</v>
      </c>
      <c r="G11" s="309">
        <v>85</v>
      </c>
      <c r="H11" s="310">
        <v>95</v>
      </c>
      <c r="I11" s="310">
        <v>95</v>
      </c>
      <c r="J11" s="310">
        <v>95</v>
      </c>
      <c r="K11" s="310">
        <v>95</v>
      </c>
      <c r="L11" s="310">
        <v>95</v>
      </c>
      <c r="M11" s="309">
        <v>85</v>
      </c>
      <c r="N11" s="309">
        <v>85</v>
      </c>
      <c r="O11" s="309">
        <v>85</v>
      </c>
      <c r="P11" s="350">
        <v>75</v>
      </c>
      <c r="Q11" s="115"/>
      <c r="R11" s="115"/>
      <c r="S11" s="338">
        <v>100</v>
      </c>
      <c r="T11" s="115"/>
      <c r="U11" s="115"/>
      <c r="V11" s="115"/>
      <c r="W11" s="115"/>
      <c r="X11" s="115"/>
      <c r="Y11" s="115"/>
      <c r="Z11" s="115"/>
      <c r="AA11" s="116"/>
      <c r="AB11" s="116"/>
      <c r="AC11" s="116"/>
      <c r="AD11" s="116"/>
      <c r="AE11" s="116"/>
      <c r="AF11" s="116"/>
      <c r="AG11" s="116"/>
      <c r="AH11" s="116"/>
      <c r="AI11" s="116"/>
    </row>
    <row r="12" spans="1:36" x14ac:dyDescent="0.2">
      <c r="A12" s="124"/>
      <c r="B12" s="516"/>
      <c r="C12" s="340">
        <v>60</v>
      </c>
      <c r="D12" s="312">
        <v>75</v>
      </c>
      <c r="E12" s="312">
        <v>75</v>
      </c>
      <c r="F12" s="312">
        <v>75</v>
      </c>
      <c r="G12" s="309">
        <v>85</v>
      </c>
      <c r="H12" s="309">
        <v>85</v>
      </c>
      <c r="I12" s="309">
        <v>85</v>
      </c>
      <c r="J12" s="309">
        <v>85</v>
      </c>
      <c r="K12" s="309">
        <v>85</v>
      </c>
      <c r="L12" s="309">
        <v>85</v>
      </c>
      <c r="M12" s="309">
        <v>85</v>
      </c>
      <c r="N12" s="312">
        <v>75</v>
      </c>
      <c r="O12" s="312">
        <v>75</v>
      </c>
      <c r="P12" s="350">
        <v>75</v>
      </c>
      <c r="Q12" s="115"/>
      <c r="R12" s="115"/>
      <c r="S12" s="138"/>
      <c r="T12" s="115"/>
      <c r="U12" s="115"/>
      <c r="V12" s="115"/>
      <c r="W12" s="115"/>
      <c r="X12" s="115"/>
      <c r="Y12" s="115"/>
      <c r="Z12" s="115"/>
      <c r="AA12" s="116"/>
      <c r="AB12" s="116"/>
      <c r="AC12" s="116"/>
      <c r="AD12" s="116"/>
      <c r="AE12" s="116"/>
      <c r="AF12" s="116"/>
      <c r="AG12" s="116"/>
      <c r="AH12" s="116"/>
      <c r="AI12" s="116"/>
    </row>
    <row r="13" spans="1:36" x14ac:dyDescent="0.2">
      <c r="A13" s="124"/>
      <c r="B13" s="516"/>
      <c r="C13" s="340">
        <v>75</v>
      </c>
      <c r="D13" s="313">
        <v>65</v>
      </c>
      <c r="E13" s="313">
        <v>65</v>
      </c>
      <c r="F13" s="312">
        <v>75</v>
      </c>
      <c r="G13" s="312">
        <v>75</v>
      </c>
      <c r="H13" s="312">
        <v>75</v>
      </c>
      <c r="I13" s="312">
        <v>75</v>
      </c>
      <c r="J13" s="312">
        <v>75</v>
      </c>
      <c r="K13" s="312">
        <v>75</v>
      </c>
      <c r="L13" s="312">
        <v>75</v>
      </c>
      <c r="M13" s="312">
        <v>75</v>
      </c>
      <c r="N13" s="312">
        <v>75</v>
      </c>
      <c r="O13" s="313">
        <v>65</v>
      </c>
      <c r="P13" s="351">
        <v>65</v>
      </c>
      <c r="Q13" s="115"/>
      <c r="R13" s="115"/>
      <c r="S13" s="117"/>
      <c r="T13" s="115"/>
      <c r="U13" s="115"/>
      <c r="V13" s="115"/>
      <c r="W13" s="115"/>
      <c r="X13" s="115"/>
      <c r="Y13" s="115"/>
      <c r="Z13" s="115"/>
      <c r="AA13" s="116" t="s">
        <v>2105</v>
      </c>
      <c r="AB13" s="116">
        <v>20</v>
      </c>
      <c r="AC13" s="116">
        <v>-90</v>
      </c>
      <c r="AD13" s="116">
        <f>VLOOKUP(AB13,AC13:AC25,1)</f>
        <v>15</v>
      </c>
      <c r="AE13" s="116" t="s">
        <v>2615</v>
      </c>
      <c r="AF13" s="116">
        <f>AB13-AD13</f>
        <v>5</v>
      </c>
      <c r="AG13" s="116"/>
      <c r="AH13" s="116"/>
      <c r="AI13" s="116"/>
    </row>
    <row r="14" spans="1:36" x14ac:dyDescent="0.2">
      <c r="A14" s="124"/>
      <c r="B14" s="517"/>
      <c r="C14" s="341">
        <v>90</v>
      </c>
      <c r="D14" s="352">
        <v>55</v>
      </c>
      <c r="E14" s="352">
        <v>55</v>
      </c>
      <c r="F14" s="353">
        <v>65</v>
      </c>
      <c r="G14" s="353">
        <v>65</v>
      </c>
      <c r="H14" s="353">
        <v>65</v>
      </c>
      <c r="I14" s="353">
        <v>65</v>
      </c>
      <c r="J14" s="353">
        <v>65</v>
      </c>
      <c r="K14" s="353">
        <v>65</v>
      </c>
      <c r="L14" s="353">
        <v>65</v>
      </c>
      <c r="M14" s="353">
        <v>65</v>
      </c>
      <c r="N14" s="353">
        <v>65</v>
      </c>
      <c r="O14" s="352">
        <v>55</v>
      </c>
      <c r="P14" s="354">
        <v>55</v>
      </c>
      <c r="Q14" s="115"/>
      <c r="R14" s="115"/>
      <c r="S14" s="138"/>
      <c r="T14" s="115"/>
      <c r="U14" s="115"/>
      <c r="V14" s="115"/>
      <c r="W14" s="115"/>
      <c r="X14" s="115"/>
      <c r="Y14" s="115"/>
      <c r="Z14" s="115"/>
      <c r="AA14" s="116"/>
      <c r="AB14" s="116">
        <f>AB13</f>
        <v>20</v>
      </c>
      <c r="AC14" s="116">
        <v>-75</v>
      </c>
      <c r="AD14" s="116">
        <f>AD13+15</f>
        <v>30</v>
      </c>
      <c r="AE14" s="116" t="s">
        <v>2616</v>
      </c>
      <c r="AF14" s="116">
        <f>AD14-AB13</f>
        <v>10</v>
      </c>
      <c r="AG14" s="116"/>
      <c r="AH14" s="116"/>
      <c r="AI14" s="116"/>
    </row>
    <row r="15" spans="1:36" x14ac:dyDescent="0.2">
      <c r="A15" s="124"/>
      <c r="B15" s="346"/>
      <c r="C15" s="246" t="s">
        <v>2370</v>
      </c>
      <c r="D15" s="246"/>
      <c r="E15" s="246"/>
      <c r="F15" s="246"/>
      <c r="G15" s="246"/>
      <c r="H15" s="246"/>
      <c r="I15" s="246"/>
      <c r="J15" s="246"/>
      <c r="K15" s="246"/>
      <c r="L15" s="246"/>
      <c r="M15" s="246"/>
      <c r="N15" s="246"/>
      <c r="O15" s="246"/>
      <c r="P15" s="362"/>
      <c r="Q15" s="115"/>
      <c r="R15" s="115"/>
      <c r="S15" s="138"/>
      <c r="T15" s="115"/>
      <c r="U15" s="115"/>
      <c r="V15" s="115"/>
      <c r="W15" s="115"/>
      <c r="X15" s="115"/>
      <c r="Y15" s="115"/>
      <c r="Z15" s="115"/>
      <c r="AA15" s="116"/>
      <c r="AB15" s="116">
        <f t="shared" ref="AB15:AB25" si="2">AB14</f>
        <v>20</v>
      </c>
      <c r="AC15" s="116">
        <v>-60</v>
      </c>
      <c r="AD15" s="116"/>
      <c r="AE15" s="116"/>
      <c r="AF15" s="116"/>
      <c r="AG15" s="116"/>
      <c r="AH15" s="116"/>
      <c r="AI15" s="116"/>
    </row>
    <row r="16" spans="1:36" x14ac:dyDescent="0.2">
      <c r="A16" s="124"/>
      <c r="B16" s="346"/>
      <c r="C16" s="246"/>
      <c r="D16" s="246"/>
      <c r="E16" s="246"/>
      <c r="F16" s="246"/>
      <c r="G16" s="246"/>
      <c r="H16" s="246"/>
      <c r="I16" s="246"/>
      <c r="J16" s="246"/>
      <c r="K16" s="246"/>
      <c r="L16" s="246"/>
      <c r="M16" s="246"/>
      <c r="N16" s="246"/>
      <c r="O16" s="246"/>
      <c r="P16" s="362"/>
      <c r="Q16" s="115"/>
      <c r="R16" s="115"/>
      <c r="S16" s="138"/>
      <c r="T16" s="115"/>
      <c r="U16" s="115"/>
      <c r="V16" s="115"/>
      <c r="W16" s="115"/>
      <c r="X16" s="115"/>
      <c r="Y16" s="115"/>
      <c r="Z16" s="115"/>
      <c r="AA16" s="116"/>
      <c r="AB16" s="116">
        <f t="shared" si="2"/>
        <v>20</v>
      </c>
      <c r="AC16" s="116">
        <v>-45</v>
      </c>
      <c r="AD16" s="116"/>
      <c r="AE16" s="116"/>
      <c r="AF16" s="116"/>
      <c r="AG16" s="116"/>
      <c r="AH16" s="116"/>
      <c r="AI16" s="116"/>
    </row>
    <row r="17" spans="1:35" x14ac:dyDescent="0.2">
      <c r="A17" s="124"/>
      <c r="B17" s="346"/>
      <c r="C17" s="245" t="s">
        <v>2371</v>
      </c>
      <c r="D17" s="246"/>
      <c r="E17" s="246"/>
      <c r="F17" s="246"/>
      <c r="G17" s="246"/>
      <c r="H17" s="246"/>
      <c r="I17" s="246">
        <f>Eingabe!H15</f>
        <v>1068</v>
      </c>
      <c r="J17" s="246" t="s">
        <v>97</v>
      </c>
      <c r="K17" s="246"/>
      <c r="L17" s="314"/>
      <c r="M17" s="315">
        <f>I17/85</f>
        <v>12.564705882352941</v>
      </c>
      <c r="N17" s="246"/>
      <c r="O17" s="246"/>
      <c r="P17" s="362"/>
      <c r="Q17" s="115"/>
      <c r="R17" s="115"/>
      <c r="S17" s="138"/>
      <c r="T17" s="115"/>
      <c r="U17" s="115"/>
      <c r="V17" s="115"/>
      <c r="W17" s="115"/>
      <c r="X17" s="115"/>
      <c r="Y17" s="115"/>
      <c r="Z17" s="115"/>
      <c r="AA17" s="116"/>
      <c r="AB17" s="116">
        <f t="shared" si="2"/>
        <v>20</v>
      </c>
      <c r="AC17" s="116">
        <v>-30</v>
      </c>
      <c r="AD17" s="116"/>
      <c r="AE17" s="116"/>
      <c r="AF17" s="116"/>
      <c r="AG17" s="116"/>
      <c r="AH17" s="116"/>
      <c r="AI17" s="116"/>
    </row>
    <row r="18" spans="1:35" x14ac:dyDescent="0.2">
      <c r="A18" s="124"/>
      <c r="B18" s="363"/>
      <c r="C18" s="364"/>
      <c r="D18" s="365"/>
      <c r="E18" s="365"/>
      <c r="F18" s="365"/>
      <c r="G18" s="365"/>
      <c r="H18" s="365"/>
      <c r="I18" s="365"/>
      <c r="J18" s="365"/>
      <c r="K18" s="365"/>
      <c r="L18" s="365"/>
      <c r="M18" s="365"/>
      <c r="N18" s="365"/>
      <c r="O18" s="365"/>
      <c r="P18" s="366"/>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2">
      <c r="A19" s="124"/>
      <c r="B19" s="266"/>
      <c r="C19" s="266"/>
      <c r="D19" s="361"/>
      <c r="E19" s="361"/>
      <c r="F19" s="361"/>
      <c r="G19" s="361"/>
      <c r="H19" s="361"/>
      <c r="I19" s="361"/>
      <c r="J19" s="361"/>
      <c r="K19" s="361"/>
      <c r="L19" s="361"/>
      <c r="M19" s="361"/>
      <c r="N19" s="361"/>
      <c r="O19" s="361"/>
      <c r="P19" s="361"/>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2">
      <c r="A20" s="124"/>
      <c r="B20" s="266"/>
      <c r="C20" s="337"/>
      <c r="D20" s="266"/>
      <c r="E20" s="266"/>
      <c r="F20" s="266"/>
      <c r="G20" s="266"/>
      <c r="H20" s="266"/>
      <c r="I20" s="266"/>
      <c r="J20" s="266"/>
      <c r="K20" s="266"/>
      <c r="L20" s="266"/>
      <c r="M20" s="266"/>
      <c r="N20" s="266"/>
      <c r="O20" s="266"/>
      <c r="P20" s="266"/>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8" x14ac:dyDescent="0.2">
      <c r="A21" s="124"/>
      <c r="B21" s="342"/>
      <c r="C21" s="343"/>
      <c r="D21" s="344" t="s">
        <v>2368</v>
      </c>
      <c r="E21" s="344"/>
      <c r="F21" s="344"/>
      <c r="G21" s="344"/>
      <c r="H21" s="344"/>
      <c r="I21" s="344"/>
      <c r="J21" s="344" t="s">
        <v>2105</v>
      </c>
      <c r="K21" s="344"/>
      <c r="L21" s="344"/>
      <c r="M21" s="344"/>
      <c r="N21" s="344"/>
      <c r="O21" s="344"/>
      <c r="P21" s="345" t="s">
        <v>2369</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x14ac:dyDescent="0.2">
      <c r="A22" s="124"/>
      <c r="B22" s="346"/>
      <c r="C22" s="305"/>
      <c r="D22" s="306">
        <v>-90</v>
      </c>
      <c r="E22" s="306">
        <v>-75</v>
      </c>
      <c r="F22" s="306">
        <v>-60</v>
      </c>
      <c r="G22" s="306">
        <v>-45</v>
      </c>
      <c r="H22" s="306">
        <v>-30</v>
      </c>
      <c r="I22" s="306">
        <v>-15</v>
      </c>
      <c r="J22" s="306">
        <v>0</v>
      </c>
      <c r="K22" s="306">
        <v>15</v>
      </c>
      <c r="L22" s="306">
        <v>30</v>
      </c>
      <c r="M22" s="306">
        <v>45</v>
      </c>
      <c r="N22" s="306">
        <v>60</v>
      </c>
      <c r="O22" s="306">
        <v>75</v>
      </c>
      <c r="P22" s="347">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x14ac:dyDescent="0.2">
      <c r="A23" s="124"/>
      <c r="B23" s="346"/>
      <c r="C23" s="307"/>
      <c r="D23" s="308">
        <v>1</v>
      </c>
      <c r="E23" s="308">
        <v>2</v>
      </c>
      <c r="F23" s="308">
        <v>3</v>
      </c>
      <c r="G23" s="308">
        <v>4</v>
      </c>
      <c r="H23" s="308">
        <v>5</v>
      </c>
      <c r="I23" s="308">
        <v>6</v>
      </c>
      <c r="J23" s="308">
        <v>7</v>
      </c>
      <c r="K23" s="308">
        <v>8</v>
      </c>
      <c r="L23" s="308">
        <v>9</v>
      </c>
      <c r="M23" s="308">
        <v>10</v>
      </c>
      <c r="N23" s="308">
        <v>11</v>
      </c>
      <c r="O23" s="308">
        <v>12</v>
      </c>
      <c r="P23" s="348">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2">
      <c r="A24" s="124"/>
      <c r="B24" s="515" t="s">
        <v>2104</v>
      </c>
      <c r="C24" s="340">
        <v>0</v>
      </c>
      <c r="D24" s="316">
        <f t="shared" ref="D24:P24" si="3">$M$17*D8</f>
        <v>1068</v>
      </c>
      <c r="E24" s="316">
        <f t="shared" si="3"/>
        <v>1068</v>
      </c>
      <c r="F24" s="316">
        <f t="shared" si="3"/>
        <v>1068</v>
      </c>
      <c r="G24" s="316">
        <f t="shared" si="3"/>
        <v>1068</v>
      </c>
      <c r="H24" s="316">
        <f t="shared" si="3"/>
        <v>1068</v>
      </c>
      <c r="I24" s="316">
        <f t="shared" si="3"/>
        <v>1068</v>
      </c>
      <c r="J24" s="316">
        <f t="shared" si="3"/>
        <v>1068</v>
      </c>
      <c r="K24" s="316">
        <f t="shared" si="3"/>
        <v>1068</v>
      </c>
      <c r="L24" s="316">
        <f t="shared" si="3"/>
        <v>1068</v>
      </c>
      <c r="M24" s="316">
        <f t="shared" si="3"/>
        <v>1068</v>
      </c>
      <c r="N24" s="316">
        <f t="shared" si="3"/>
        <v>1068</v>
      </c>
      <c r="O24" s="316">
        <f t="shared" si="3"/>
        <v>1068</v>
      </c>
      <c r="P24" s="355">
        <f t="shared" si="3"/>
        <v>1068</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x14ac:dyDescent="0.2">
      <c r="A25" s="124"/>
      <c r="B25" s="516"/>
      <c r="C25" s="340">
        <v>15</v>
      </c>
      <c r="D25" s="316">
        <f t="shared" ref="D25:P25" si="4">$M$17*D9</f>
        <v>1068</v>
      </c>
      <c r="E25" s="316">
        <f t="shared" si="4"/>
        <v>1068</v>
      </c>
      <c r="F25" s="316">
        <f t="shared" si="4"/>
        <v>1068</v>
      </c>
      <c r="G25" s="317">
        <f t="shared" si="4"/>
        <v>1193.6470588235293</v>
      </c>
      <c r="H25" s="317">
        <f t="shared" si="4"/>
        <v>1193.6470588235293</v>
      </c>
      <c r="I25" s="317">
        <f t="shared" si="4"/>
        <v>1193.6470588235293</v>
      </c>
      <c r="J25" s="317">
        <f t="shared" si="4"/>
        <v>1193.6470588235293</v>
      </c>
      <c r="K25" s="317">
        <f t="shared" si="4"/>
        <v>1193.6470588235293</v>
      </c>
      <c r="L25" s="317">
        <f t="shared" si="4"/>
        <v>1193.6470588235293</v>
      </c>
      <c r="M25" s="317">
        <f t="shared" si="4"/>
        <v>1193.6470588235293</v>
      </c>
      <c r="N25" s="316">
        <f t="shared" si="4"/>
        <v>1068</v>
      </c>
      <c r="O25" s="316">
        <f t="shared" si="4"/>
        <v>1068</v>
      </c>
      <c r="P25" s="355">
        <f t="shared" si="4"/>
        <v>1068</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2">
      <c r="A26" s="124"/>
      <c r="B26" s="516"/>
      <c r="C26" s="340">
        <v>30</v>
      </c>
      <c r="D26" s="316">
        <f t="shared" ref="D26:P26" si="5">$M$17*D10</f>
        <v>1068</v>
      </c>
      <c r="E26" s="316">
        <f t="shared" si="5"/>
        <v>1068</v>
      </c>
      <c r="F26" s="316">
        <f t="shared" si="5"/>
        <v>1068</v>
      </c>
      <c r="G26" s="317">
        <f t="shared" si="5"/>
        <v>1193.6470588235293</v>
      </c>
      <c r="H26" s="317">
        <f t="shared" si="5"/>
        <v>1193.6470588235293</v>
      </c>
      <c r="I26" s="317">
        <f t="shared" si="5"/>
        <v>1193.6470588235293</v>
      </c>
      <c r="J26" s="318">
        <f t="shared" si="5"/>
        <v>1256.4705882352941</v>
      </c>
      <c r="K26" s="317">
        <f t="shared" si="5"/>
        <v>1193.6470588235293</v>
      </c>
      <c r="L26" s="317">
        <f t="shared" si="5"/>
        <v>1193.6470588235293</v>
      </c>
      <c r="M26" s="317">
        <f t="shared" si="5"/>
        <v>1193.6470588235293</v>
      </c>
      <c r="N26" s="316">
        <f t="shared" si="5"/>
        <v>1068</v>
      </c>
      <c r="O26" s="316">
        <f t="shared" si="5"/>
        <v>1068</v>
      </c>
      <c r="P26" s="355">
        <f t="shared" si="5"/>
        <v>1068</v>
      </c>
      <c r="Q26" s="115"/>
      <c r="R26" s="115"/>
      <c r="S26" s="115"/>
      <c r="T26" s="115"/>
      <c r="U26" s="115"/>
      <c r="V26" s="115"/>
      <c r="W26" s="115"/>
      <c r="X26" s="115"/>
      <c r="Y26" s="115"/>
      <c r="Z26" s="115"/>
      <c r="AA26" s="116"/>
      <c r="AB26" s="116"/>
      <c r="AC26" s="116"/>
      <c r="AD26" s="116"/>
      <c r="AE26" s="116"/>
      <c r="AF26" s="116"/>
      <c r="AG26" s="116"/>
      <c r="AH26" s="116"/>
      <c r="AI26" s="116"/>
    </row>
    <row r="27" spans="1:35" x14ac:dyDescent="0.2">
      <c r="A27" s="124"/>
      <c r="B27" s="516"/>
      <c r="C27" s="340">
        <v>45</v>
      </c>
      <c r="D27" s="319">
        <f t="shared" ref="D27:P27" si="6">$M$17*D11</f>
        <v>942.35294117647061</v>
      </c>
      <c r="E27" s="316">
        <f t="shared" si="6"/>
        <v>1068</v>
      </c>
      <c r="F27" s="316">
        <f t="shared" si="6"/>
        <v>1068</v>
      </c>
      <c r="G27" s="316">
        <f t="shared" si="6"/>
        <v>1068</v>
      </c>
      <c r="H27" s="317">
        <f t="shared" si="6"/>
        <v>1193.6470588235293</v>
      </c>
      <c r="I27" s="317">
        <f t="shared" si="6"/>
        <v>1193.6470588235293</v>
      </c>
      <c r="J27" s="317">
        <f t="shared" si="6"/>
        <v>1193.6470588235293</v>
      </c>
      <c r="K27" s="317">
        <f t="shared" si="6"/>
        <v>1193.6470588235293</v>
      </c>
      <c r="L27" s="317">
        <f t="shared" si="6"/>
        <v>1193.6470588235293</v>
      </c>
      <c r="M27" s="316">
        <f t="shared" si="6"/>
        <v>1068</v>
      </c>
      <c r="N27" s="316">
        <f t="shared" si="6"/>
        <v>1068</v>
      </c>
      <c r="O27" s="316">
        <f t="shared" si="6"/>
        <v>1068</v>
      </c>
      <c r="P27" s="356">
        <f t="shared" si="6"/>
        <v>942.35294117647061</v>
      </c>
      <c r="Q27" s="115"/>
      <c r="R27" s="115"/>
      <c r="S27" s="115"/>
      <c r="T27" s="115"/>
      <c r="U27" s="115"/>
      <c r="V27" s="115"/>
      <c r="W27" s="115"/>
      <c r="X27" s="115"/>
      <c r="Y27" s="115"/>
      <c r="Z27" s="115"/>
      <c r="AA27" s="116"/>
      <c r="AB27" s="116"/>
      <c r="AC27" s="116"/>
      <c r="AD27" s="116"/>
      <c r="AE27" s="116"/>
      <c r="AF27" s="116"/>
      <c r="AG27" s="116"/>
      <c r="AH27" s="116"/>
      <c r="AI27" s="116"/>
    </row>
    <row r="28" spans="1:35" x14ac:dyDescent="0.2">
      <c r="A28" s="124"/>
      <c r="B28" s="516"/>
      <c r="C28" s="340">
        <v>60</v>
      </c>
      <c r="D28" s="319">
        <f t="shared" ref="D28:P28" si="7">$M$17*D12</f>
        <v>942.35294117647061</v>
      </c>
      <c r="E28" s="319">
        <f t="shared" si="7"/>
        <v>942.35294117647061</v>
      </c>
      <c r="F28" s="319">
        <f t="shared" si="7"/>
        <v>942.35294117647061</v>
      </c>
      <c r="G28" s="316">
        <f t="shared" si="7"/>
        <v>1068</v>
      </c>
      <c r="H28" s="316">
        <f t="shared" si="7"/>
        <v>1068</v>
      </c>
      <c r="I28" s="316">
        <f t="shared" si="7"/>
        <v>1068</v>
      </c>
      <c r="J28" s="316">
        <f t="shared" si="7"/>
        <v>1068</v>
      </c>
      <c r="K28" s="316">
        <f t="shared" si="7"/>
        <v>1068</v>
      </c>
      <c r="L28" s="316">
        <f t="shared" si="7"/>
        <v>1068</v>
      </c>
      <c r="M28" s="316">
        <f t="shared" si="7"/>
        <v>1068</v>
      </c>
      <c r="N28" s="319">
        <f t="shared" si="7"/>
        <v>942.35294117647061</v>
      </c>
      <c r="O28" s="319">
        <f t="shared" si="7"/>
        <v>942.35294117647061</v>
      </c>
      <c r="P28" s="356">
        <f t="shared" si="7"/>
        <v>942.35294117647061</v>
      </c>
      <c r="Q28" s="115"/>
      <c r="R28" s="115"/>
      <c r="S28" s="115"/>
      <c r="T28" s="115"/>
      <c r="U28" s="115"/>
      <c r="V28" s="115"/>
      <c r="W28" s="115"/>
      <c r="X28" s="115"/>
      <c r="Y28" s="115"/>
      <c r="Z28" s="115"/>
      <c r="AA28" s="116"/>
      <c r="AB28" s="116"/>
      <c r="AC28" s="116"/>
      <c r="AD28" s="116"/>
      <c r="AE28" s="116"/>
      <c r="AF28" s="116"/>
      <c r="AG28" s="116"/>
      <c r="AH28" s="116"/>
      <c r="AI28" s="116"/>
    </row>
    <row r="29" spans="1:35" x14ac:dyDescent="0.2">
      <c r="A29" s="124"/>
      <c r="B29" s="516"/>
      <c r="C29" s="340">
        <v>75</v>
      </c>
      <c r="D29" s="320">
        <f t="shared" ref="D29:P29" si="8">$M$17*D13</f>
        <v>816.70588235294122</v>
      </c>
      <c r="E29" s="320">
        <f t="shared" si="8"/>
        <v>816.70588235294122</v>
      </c>
      <c r="F29" s="319">
        <f t="shared" si="8"/>
        <v>942.35294117647061</v>
      </c>
      <c r="G29" s="319">
        <f t="shared" si="8"/>
        <v>942.35294117647061</v>
      </c>
      <c r="H29" s="319">
        <f t="shared" si="8"/>
        <v>942.35294117647061</v>
      </c>
      <c r="I29" s="319">
        <f t="shared" si="8"/>
        <v>942.35294117647061</v>
      </c>
      <c r="J29" s="319">
        <f t="shared" si="8"/>
        <v>942.35294117647061</v>
      </c>
      <c r="K29" s="319">
        <f t="shared" si="8"/>
        <v>942.35294117647061</v>
      </c>
      <c r="L29" s="319">
        <f t="shared" si="8"/>
        <v>942.35294117647061</v>
      </c>
      <c r="M29" s="319">
        <f t="shared" si="8"/>
        <v>942.35294117647061</v>
      </c>
      <c r="N29" s="319">
        <f t="shared" si="8"/>
        <v>942.35294117647061</v>
      </c>
      <c r="O29" s="320">
        <f t="shared" si="8"/>
        <v>816.70588235294122</v>
      </c>
      <c r="P29" s="357">
        <f t="shared" si="8"/>
        <v>816.70588235294122</v>
      </c>
      <c r="Q29" s="115"/>
      <c r="R29" s="115"/>
      <c r="S29" s="115"/>
      <c r="T29" s="115"/>
      <c r="U29" s="115"/>
      <c r="V29" s="115"/>
      <c r="W29" s="115"/>
      <c r="X29" s="115"/>
      <c r="Y29" s="115"/>
      <c r="Z29" s="115"/>
      <c r="AA29" s="116"/>
      <c r="AB29" s="116"/>
      <c r="AC29" s="116"/>
      <c r="AD29" s="116"/>
      <c r="AE29" s="116"/>
      <c r="AF29" s="116"/>
      <c r="AG29" s="116"/>
      <c r="AH29" s="116"/>
      <c r="AI29" s="116"/>
    </row>
    <row r="30" spans="1:35" x14ac:dyDescent="0.2">
      <c r="A30" s="124"/>
      <c r="B30" s="517"/>
      <c r="C30" s="341">
        <v>90</v>
      </c>
      <c r="D30" s="358">
        <f t="shared" ref="D30:P30" si="9">$M$17*D14</f>
        <v>691.05882352941171</v>
      </c>
      <c r="E30" s="358">
        <f t="shared" si="9"/>
        <v>691.05882352941171</v>
      </c>
      <c r="F30" s="359">
        <f t="shared" si="9"/>
        <v>816.70588235294122</v>
      </c>
      <c r="G30" s="359">
        <f t="shared" si="9"/>
        <v>816.70588235294122</v>
      </c>
      <c r="H30" s="359">
        <f t="shared" si="9"/>
        <v>816.70588235294122</v>
      </c>
      <c r="I30" s="359">
        <f t="shared" si="9"/>
        <v>816.70588235294122</v>
      </c>
      <c r="J30" s="359">
        <f t="shared" si="9"/>
        <v>816.70588235294122</v>
      </c>
      <c r="K30" s="359">
        <f t="shared" si="9"/>
        <v>816.70588235294122</v>
      </c>
      <c r="L30" s="359">
        <f t="shared" si="9"/>
        <v>816.70588235294122</v>
      </c>
      <c r="M30" s="359">
        <f t="shared" si="9"/>
        <v>816.70588235294122</v>
      </c>
      <c r="N30" s="359">
        <f t="shared" si="9"/>
        <v>816.70588235294122</v>
      </c>
      <c r="O30" s="358">
        <f t="shared" si="9"/>
        <v>691.05882352941171</v>
      </c>
      <c r="P30" s="360">
        <f t="shared" si="9"/>
        <v>691.05882352941171</v>
      </c>
      <c r="Q30" s="115"/>
      <c r="R30" s="115"/>
      <c r="S30" s="115"/>
      <c r="T30" s="115"/>
      <c r="U30" s="115"/>
      <c r="V30" s="115"/>
      <c r="W30" s="115"/>
      <c r="X30" s="115"/>
      <c r="Y30" s="115"/>
      <c r="Z30" s="115"/>
      <c r="AA30" s="116"/>
      <c r="AB30" s="116"/>
      <c r="AC30" s="116"/>
      <c r="AD30" s="116"/>
      <c r="AE30" s="116"/>
      <c r="AF30" s="116"/>
      <c r="AG30" s="116"/>
      <c r="AH30" s="116"/>
      <c r="AI30" s="116"/>
    </row>
    <row r="31" spans="1:35" x14ac:dyDescent="0.2">
      <c r="A31" s="124"/>
      <c r="B31" s="346"/>
      <c r="C31" s="246" t="s">
        <v>2372</v>
      </c>
      <c r="D31" s="246"/>
      <c r="E31" s="246"/>
      <c r="F31" s="246"/>
      <c r="G31" s="246"/>
      <c r="H31" s="246"/>
      <c r="I31" s="246"/>
      <c r="J31" s="246"/>
      <c r="K31" s="246"/>
      <c r="L31" s="246"/>
      <c r="M31" s="246"/>
      <c r="N31" s="246"/>
      <c r="O31" s="246"/>
      <c r="P31" s="362"/>
      <c r="Q31" s="115"/>
      <c r="R31" s="115"/>
      <c r="S31" s="115"/>
      <c r="T31" s="115"/>
      <c r="U31" s="115"/>
      <c r="V31" s="115"/>
      <c r="W31" s="115"/>
      <c r="X31" s="115"/>
      <c r="Y31" s="115"/>
      <c r="Z31" s="115"/>
      <c r="AD31" s="124"/>
      <c r="AE31" s="124"/>
      <c r="AF31" s="124"/>
      <c r="AG31" s="124"/>
    </row>
    <row r="32" spans="1:35" ht="17.25" x14ac:dyDescent="0.25">
      <c r="A32" s="124"/>
      <c r="B32" s="369"/>
      <c r="C32" s="370"/>
      <c r="D32" s="370"/>
      <c r="E32" s="370"/>
      <c r="F32" s="370"/>
      <c r="G32" s="370"/>
      <c r="H32" s="370"/>
      <c r="I32" s="370"/>
      <c r="J32" s="370"/>
      <c r="K32" s="370"/>
      <c r="L32" s="370"/>
      <c r="M32" s="370"/>
      <c r="N32" s="370"/>
      <c r="O32" s="370"/>
      <c r="P32" s="371"/>
      <c r="Q32" s="115"/>
      <c r="R32" s="115"/>
      <c r="S32" s="115"/>
      <c r="T32" s="115"/>
      <c r="U32" s="115"/>
      <c r="V32" s="115"/>
      <c r="W32" s="115"/>
      <c r="X32" s="115"/>
      <c r="Y32" s="115"/>
      <c r="Z32" s="3"/>
      <c r="AD32" s="136"/>
      <c r="AE32" s="124"/>
      <c r="AF32" s="124"/>
      <c r="AG32" s="124"/>
    </row>
    <row r="33" spans="1:33" ht="17.25" x14ac:dyDescent="0.25">
      <c r="A33" s="124"/>
      <c r="B33" s="372"/>
      <c r="C33" s="373"/>
      <c r="D33" s="372"/>
      <c r="E33" s="372"/>
      <c r="F33" s="372"/>
      <c r="G33" s="372"/>
      <c r="H33" s="372"/>
      <c r="I33" s="372"/>
      <c r="J33" s="372"/>
      <c r="K33" s="372"/>
      <c r="L33" s="374"/>
      <c r="M33" s="375"/>
      <c r="N33" s="372"/>
      <c r="O33" s="372"/>
      <c r="P33" s="372"/>
      <c r="Q33" s="115"/>
      <c r="R33" s="115"/>
      <c r="S33" s="115"/>
      <c r="T33" s="115"/>
      <c r="U33" s="115"/>
      <c r="V33" s="115"/>
      <c r="W33" s="115"/>
      <c r="X33" s="115"/>
      <c r="Y33" s="115"/>
      <c r="Z33" s="3"/>
      <c r="AD33" s="136"/>
      <c r="AE33" s="124"/>
      <c r="AF33" s="124"/>
      <c r="AG33" s="124"/>
    </row>
    <row r="34" spans="1:33" x14ac:dyDescent="0.2">
      <c r="A34" s="124"/>
      <c r="B34" s="367"/>
      <c r="C34" s="367"/>
      <c r="D34" s="368"/>
      <c r="E34" s="368"/>
      <c r="F34" s="368"/>
      <c r="G34" s="368"/>
      <c r="H34" s="368"/>
      <c r="I34" s="368"/>
      <c r="J34" s="368"/>
      <c r="K34" s="368"/>
      <c r="L34" s="368"/>
      <c r="M34" s="368"/>
      <c r="N34" s="368"/>
      <c r="O34" s="368"/>
      <c r="P34" s="368"/>
      <c r="Q34" s="115"/>
      <c r="R34" s="115"/>
      <c r="S34" s="115"/>
      <c r="T34" s="115"/>
      <c r="U34" s="115"/>
      <c r="V34" s="115"/>
      <c r="W34" s="115"/>
      <c r="X34" s="115"/>
      <c r="Y34" s="115"/>
      <c r="Z34" s="3"/>
      <c r="AD34" s="124"/>
      <c r="AE34" s="124"/>
      <c r="AF34" s="124"/>
      <c r="AG34" s="124"/>
    </row>
    <row r="35" spans="1:33" ht="18" x14ac:dyDescent="0.2">
      <c r="A35" s="124"/>
      <c r="B35" s="342"/>
      <c r="C35" s="343"/>
      <c r="D35" s="344" t="s">
        <v>2368</v>
      </c>
      <c r="E35" s="344"/>
      <c r="F35" s="344"/>
      <c r="G35" s="344"/>
      <c r="H35" s="344"/>
      <c r="I35" s="344"/>
      <c r="J35" s="344" t="s">
        <v>2105</v>
      </c>
      <c r="K35" s="344"/>
      <c r="L35" s="344"/>
      <c r="M35" s="344"/>
      <c r="N35" s="344"/>
      <c r="O35" s="344"/>
      <c r="P35" s="345" t="s">
        <v>2369</v>
      </c>
      <c r="Q35" s="115"/>
      <c r="R35" s="115"/>
      <c r="S35" s="115"/>
      <c r="T35" s="115"/>
      <c r="U35" s="115"/>
      <c r="V35" s="115"/>
      <c r="W35" s="115"/>
      <c r="X35" s="115"/>
      <c r="Y35" s="115"/>
      <c r="Z35" s="3"/>
      <c r="AD35" s="124"/>
      <c r="AE35" s="124"/>
      <c r="AF35" s="124"/>
      <c r="AG35" s="124"/>
    </row>
    <row r="36" spans="1:33" x14ac:dyDescent="0.2">
      <c r="A36" s="124"/>
      <c r="B36" s="346"/>
      <c r="C36" s="305"/>
      <c r="D36" s="306">
        <v>-90</v>
      </c>
      <c r="E36" s="306">
        <v>-75</v>
      </c>
      <c r="F36" s="306">
        <v>-60</v>
      </c>
      <c r="G36" s="306">
        <v>-45</v>
      </c>
      <c r="H36" s="306">
        <v>-30</v>
      </c>
      <c r="I36" s="306">
        <v>-15</v>
      </c>
      <c r="J36" s="306">
        <v>0</v>
      </c>
      <c r="K36" s="306">
        <v>15</v>
      </c>
      <c r="L36" s="306">
        <v>30</v>
      </c>
      <c r="M36" s="306">
        <v>45</v>
      </c>
      <c r="N36" s="306">
        <v>60</v>
      </c>
      <c r="O36" s="306">
        <v>75</v>
      </c>
      <c r="P36" s="347">
        <v>90</v>
      </c>
      <c r="Q36" s="115"/>
      <c r="R36" s="115"/>
      <c r="S36" s="115"/>
      <c r="T36" s="115"/>
      <c r="U36" s="115"/>
      <c r="V36" s="115"/>
      <c r="W36" s="115"/>
      <c r="X36" s="115"/>
      <c r="Y36" s="115"/>
      <c r="Z36" s="3"/>
      <c r="AD36" s="124"/>
      <c r="AE36" s="124"/>
      <c r="AF36" s="124"/>
      <c r="AG36" s="124"/>
    </row>
    <row r="37" spans="1:33" x14ac:dyDescent="0.2">
      <c r="A37" s="124"/>
      <c r="B37" s="346"/>
      <c r="C37" s="307"/>
      <c r="D37" s="308">
        <v>1</v>
      </c>
      <c r="E37" s="308">
        <v>2</v>
      </c>
      <c r="F37" s="308">
        <v>3</v>
      </c>
      <c r="G37" s="308">
        <v>4</v>
      </c>
      <c r="H37" s="308">
        <v>5</v>
      </c>
      <c r="I37" s="308">
        <v>6</v>
      </c>
      <c r="J37" s="308">
        <v>7</v>
      </c>
      <c r="K37" s="308">
        <v>8</v>
      </c>
      <c r="L37" s="308">
        <v>9</v>
      </c>
      <c r="M37" s="308">
        <v>10</v>
      </c>
      <c r="N37" s="308">
        <v>11</v>
      </c>
      <c r="O37" s="308">
        <v>12</v>
      </c>
      <c r="P37" s="348">
        <v>13</v>
      </c>
      <c r="Q37" s="115"/>
      <c r="R37" s="115"/>
      <c r="S37" s="115"/>
      <c r="T37" s="115"/>
      <c r="U37" s="115"/>
      <c r="V37" s="115"/>
      <c r="W37" s="115"/>
      <c r="X37" s="115"/>
      <c r="Y37" s="115"/>
      <c r="Z37" s="3"/>
      <c r="AD37" s="124"/>
      <c r="AE37" s="124"/>
      <c r="AF37" s="124"/>
      <c r="AG37" s="124"/>
    </row>
    <row r="38" spans="1:33" ht="12.75" customHeight="1" x14ac:dyDescent="0.2">
      <c r="A38" s="124"/>
      <c r="B38" s="515" t="s">
        <v>2104</v>
      </c>
      <c r="C38" s="340">
        <v>0</v>
      </c>
      <c r="D38" s="316" t="str">
        <f t="shared" ref="D38:P38" si="10">IF($F$51=0,D24,"")</f>
        <v/>
      </c>
      <c r="E38" s="316" t="str">
        <f t="shared" si="10"/>
        <v/>
      </c>
      <c r="F38" s="316" t="str">
        <f t="shared" si="10"/>
        <v/>
      </c>
      <c r="G38" s="316" t="str">
        <f t="shared" si="10"/>
        <v/>
      </c>
      <c r="H38" s="316" t="str">
        <f t="shared" si="10"/>
        <v/>
      </c>
      <c r="I38" s="316" t="str">
        <f t="shared" si="10"/>
        <v/>
      </c>
      <c r="J38" s="316" t="str">
        <f t="shared" si="10"/>
        <v/>
      </c>
      <c r="K38" s="316" t="str">
        <f t="shared" si="10"/>
        <v/>
      </c>
      <c r="L38" s="316" t="str">
        <f t="shared" si="10"/>
        <v/>
      </c>
      <c r="M38" s="316" t="str">
        <f t="shared" si="10"/>
        <v/>
      </c>
      <c r="N38" s="316" t="str">
        <f t="shared" si="10"/>
        <v/>
      </c>
      <c r="O38" s="316" t="str">
        <f t="shared" si="10"/>
        <v/>
      </c>
      <c r="P38" s="355" t="str">
        <f t="shared" si="10"/>
        <v/>
      </c>
      <c r="Q38" s="115"/>
      <c r="R38" s="115"/>
      <c r="S38" s="115"/>
      <c r="T38" s="115"/>
      <c r="U38" s="115"/>
      <c r="V38" s="115"/>
      <c r="W38" s="115"/>
      <c r="X38" s="115"/>
      <c r="Y38" s="115"/>
      <c r="Z38" s="3"/>
      <c r="AD38" s="124"/>
      <c r="AE38" s="124"/>
      <c r="AF38" s="124"/>
      <c r="AG38" s="124"/>
    </row>
    <row r="39" spans="1:33" x14ac:dyDescent="0.2">
      <c r="A39" s="124"/>
      <c r="B39" s="516"/>
      <c r="C39" s="340">
        <v>15</v>
      </c>
      <c r="D39" s="316" t="str">
        <f t="shared" ref="D39:P39" si="11">IF($F$51=15,D25,"")</f>
        <v/>
      </c>
      <c r="E39" s="316" t="str">
        <f t="shared" si="11"/>
        <v/>
      </c>
      <c r="F39" s="316" t="str">
        <f t="shared" si="11"/>
        <v/>
      </c>
      <c r="G39" s="317" t="str">
        <f t="shared" si="11"/>
        <v/>
      </c>
      <c r="H39" s="317" t="str">
        <f t="shared" si="11"/>
        <v/>
      </c>
      <c r="I39" s="317" t="str">
        <f t="shared" si="11"/>
        <v/>
      </c>
      <c r="J39" s="317" t="str">
        <f t="shared" si="11"/>
        <v/>
      </c>
      <c r="K39" s="317" t="str">
        <f t="shared" si="11"/>
        <v/>
      </c>
      <c r="L39" s="317" t="str">
        <f t="shared" si="11"/>
        <v/>
      </c>
      <c r="M39" s="317" t="str">
        <f t="shared" si="11"/>
        <v/>
      </c>
      <c r="N39" s="316" t="str">
        <f t="shared" si="11"/>
        <v/>
      </c>
      <c r="O39" s="316" t="str">
        <f t="shared" si="11"/>
        <v/>
      </c>
      <c r="P39" s="355" t="str">
        <f t="shared" si="11"/>
        <v/>
      </c>
      <c r="Q39" s="115"/>
      <c r="R39" s="115"/>
      <c r="S39" s="115"/>
      <c r="T39" s="115"/>
      <c r="U39" s="115"/>
      <c r="V39" s="115"/>
      <c r="W39" s="115"/>
      <c r="X39" s="115"/>
      <c r="Y39" s="115"/>
      <c r="Z39" s="3"/>
      <c r="AD39" s="124"/>
      <c r="AE39" s="124"/>
      <c r="AF39" s="124"/>
      <c r="AG39" s="124"/>
    </row>
    <row r="40" spans="1:33" ht="12.75" customHeight="1" x14ac:dyDescent="0.2">
      <c r="A40" s="124"/>
      <c r="B40" s="516"/>
      <c r="C40" s="340">
        <v>30</v>
      </c>
      <c r="D40" s="316">
        <f t="shared" ref="D40:P40" si="12">IF($F$51=30,D26,"")</f>
        <v>1068</v>
      </c>
      <c r="E40" s="316">
        <f t="shared" si="12"/>
        <v>1068</v>
      </c>
      <c r="F40" s="316">
        <f t="shared" si="12"/>
        <v>1068</v>
      </c>
      <c r="G40" s="317">
        <f t="shared" si="12"/>
        <v>1193.6470588235293</v>
      </c>
      <c r="H40" s="317">
        <f t="shared" si="12"/>
        <v>1193.6470588235293</v>
      </c>
      <c r="I40" s="317">
        <f t="shared" si="12"/>
        <v>1193.6470588235293</v>
      </c>
      <c r="J40" s="318">
        <f t="shared" si="12"/>
        <v>1256.4705882352941</v>
      </c>
      <c r="K40" s="317">
        <f t="shared" si="12"/>
        <v>1193.6470588235293</v>
      </c>
      <c r="L40" s="317">
        <f t="shared" si="12"/>
        <v>1193.6470588235293</v>
      </c>
      <c r="M40" s="317">
        <f t="shared" si="12"/>
        <v>1193.6470588235293</v>
      </c>
      <c r="N40" s="316">
        <f t="shared" si="12"/>
        <v>1068</v>
      </c>
      <c r="O40" s="316">
        <f t="shared" si="12"/>
        <v>1068</v>
      </c>
      <c r="P40" s="355">
        <f t="shared" si="12"/>
        <v>1068</v>
      </c>
      <c r="Q40" s="115"/>
      <c r="R40" s="115"/>
      <c r="S40" s="115"/>
      <c r="T40" s="115"/>
      <c r="U40" s="115"/>
      <c r="V40" s="115"/>
      <c r="W40" s="115"/>
      <c r="X40" s="115"/>
      <c r="Y40" s="115"/>
      <c r="Z40" s="3"/>
      <c r="AD40" s="124"/>
      <c r="AE40" s="124"/>
      <c r="AF40" s="124"/>
      <c r="AG40" s="124"/>
    </row>
    <row r="41" spans="1:33" x14ac:dyDescent="0.2">
      <c r="A41" s="124"/>
      <c r="B41" s="516"/>
      <c r="C41" s="340">
        <v>45</v>
      </c>
      <c r="D41" s="319" t="str">
        <f t="shared" ref="D41:P41" si="13">IF($F$51=45,D27,"")</f>
        <v/>
      </c>
      <c r="E41" s="316" t="str">
        <f t="shared" si="13"/>
        <v/>
      </c>
      <c r="F41" s="316" t="str">
        <f t="shared" si="13"/>
        <v/>
      </c>
      <c r="G41" s="316" t="str">
        <f t="shared" si="13"/>
        <v/>
      </c>
      <c r="H41" s="317" t="str">
        <f t="shared" si="13"/>
        <v/>
      </c>
      <c r="I41" s="317" t="str">
        <f t="shared" si="13"/>
        <v/>
      </c>
      <c r="J41" s="317" t="str">
        <f t="shared" si="13"/>
        <v/>
      </c>
      <c r="K41" s="317" t="str">
        <f t="shared" si="13"/>
        <v/>
      </c>
      <c r="L41" s="317" t="str">
        <f t="shared" si="13"/>
        <v/>
      </c>
      <c r="M41" s="316" t="str">
        <f t="shared" si="13"/>
        <v/>
      </c>
      <c r="N41" s="316" t="str">
        <f t="shared" si="13"/>
        <v/>
      </c>
      <c r="O41" s="316" t="str">
        <f t="shared" si="13"/>
        <v/>
      </c>
      <c r="P41" s="356" t="str">
        <f t="shared" si="13"/>
        <v/>
      </c>
      <c r="Q41" s="115"/>
      <c r="R41" s="115"/>
      <c r="S41" s="115"/>
      <c r="T41" s="115"/>
      <c r="U41" s="115"/>
      <c r="V41" s="115"/>
      <c r="W41" s="115"/>
      <c r="X41" s="115"/>
      <c r="Y41" s="115"/>
      <c r="Z41" s="3"/>
      <c r="AD41" s="124"/>
      <c r="AE41" s="124"/>
      <c r="AF41" s="124"/>
      <c r="AG41" s="124"/>
    </row>
    <row r="42" spans="1:33" x14ac:dyDescent="0.2">
      <c r="A42" s="124"/>
      <c r="B42" s="516"/>
      <c r="C42" s="340">
        <v>60</v>
      </c>
      <c r="D42" s="319" t="str">
        <f t="shared" ref="D42:P42" si="14">IF($F$51=60,D28,"")</f>
        <v/>
      </c>
      <c r="E42" s="319" t="str">
        <f t="shared" si="14"/>
        <v/>
      </c>
      <c r="F42" s="319" t="str">
        <f t="shared" si="14"/>
        <v/>
      </c>
      <c r="G42" s="316" t="str">
        <f t="shared" si="14"/>
        <v/>
      </c>
      <c r="H42" s="316" t="str">
        <f t="shared" si="14"/>
        <v/>
      </c>
      <c r="I42" s="316" t="str">
        <f t="shared" si="14"/>
        <v/>
      </c>
      <c r="J42" s="316" t="str">
        <f t="shared" si="14"/>
        <v/>
      </c>
      <c r="K42" s="316" t="str">
        <f t="shared" si="14"/>
        <v/>
      </c>
      <c r="L42" s="316" t="str">
        <f t="shared" si="14"/>
        <v/>
      </c>
      <c r="M42" s="316" t="str">
        <f t="shared" si="14"/>
        <v/>
      </c>
      <c r="N42" s="319" t="str">
        <f t="shared" si="14"/>
        <v/>
      </c>
      <c r="O42" s="319" t="str">
        <f t="shared" si="14"/>
        <v/>
      </c>
      <c r="P42" s="356" t="str">
        <f t="shared" si="14"/>
        <v/>
      </c>
      <c r="Q42" s="115"/>
      <c r="R42" s="115"/>
      <c r="S42" s="115"/>
      <c r="T42" s="115"/>
      <c r="U42" s="115"/>
      <c r="V42" s="115"/>
      <c r="W42" s="115"/>
      <c r="X42" s="115"/>
      <c r="Y42" s="115"/>
      <c r="Z42" s="3"/>
      <c r="AD42" s="124"/>
      <c r="AE42" s="124"/>
      <c r="AF42" s="124"/>
      <c r="AG42" s="124"/>
    </row>
    <row r="43" spans="1:33" x14ac:dyDescent="0.2">
      <c r="A43" s="124"/>
      <c r="B43" s="516"/>
      <c r="C43" s="340">
        <v>75</v>
      </c>
      <c r="D43" s="320" t="str">
        <f t="shared" ref="D43:P43" si="15">IF($F$51=75,D29,"")</f>
        <v/>
      </c>
      <c r="E43" s="320" t="str">
        <f t="shared" si="15"/>
        <v/>
      </c>
      <c r="F43" s="319" t="str">
        <f t="shared" si="15"/>
        <v/>
      </c>
      <c r="G43" s="319" t="str">
        <f t="shared" si="15"/>
        <v/>
      </c>
      <c r="H43" s="319" t="str">
        <f t="shared" si="15"/>
        <v/>
      </c>
      <c r="I43" s="319" t="str">
        <f t="shared" si="15"/>
        <v/>
      </c>
      <c r="J43" s="319" t="str">
        <f t="shared" si="15"/>
        <v/>
      </c>
      <c r="K43" s="319" t="str">
        <f t="shared" si="15"/>
        <v/>
      </c>
      <c r="L43" s="319" t="str">
        <f t="shared" si="15"/>
        <v/>
      </c>
      <c r="M43" s="319" t="str">
        <f t="shared" si="15"/>
        <v/>
      </c>
      <c r="N43" s="319" t="str">
        <f t="shared" si="15"/>
        <v/>
      </c>
      <c r="O43" s="320" t="str">
        <f t="shared" si="15"/>
        <v/>
      </c>
      <c r="P43" s="357" t="str">
        <f t="shared" si="15"/>
        <v/>
      </c>
      <c r="Q43" s="115"/>
      <c r="R43" s="115"/>
      <c r="S43" s="115"/>
      <c r="T43" s="115"/>
      <c r="U43" s="115"/>
      <c r="V43" s="115"/>
      <c r="W43" s="115"/>
      <c r="X43" s="115"/>
      <c r="Y43" s="115"/>
      <c r="Z43" s="3"/>
    </row>
    <row r="44" spans="1:33" x14ac:dyDescent="0.2">
      <c r="A44" s="124"/>
      <c r="B44" s="517"/>
      <c r="C44" s="341">
        <v>90</v>
      </c>
      <c r="D44" s="358" t="str">
        <f t="shared" ref="D44:P44" si="16">IF($F$51=90,D30,"")</f>
        <v/>
      </c>
      <c r="E44" s="358" t="str">
        <f t="shared" si="16"/>
        <v/>
      </c>
      <c r="F44" s="359" t="str">
        <f t="shared" si="16"/>
        <v/>
      </c>
      <c r="G44" s="359" t="str">
        <f t="shared" si="16"/>
        <v/>
      </c>
      <c r="H44" s="359" t="str">
        <f t="shared" si="16"/>
        <v/>
      </c>
      <c r="I44" s="359" t="str">
        <f t="shared" si="16"/>
        <v/>
      </c>
      <c r="J44" s="359" t="str">
        <f t="shared" si="16"/>
        <v/>
      </c>
      <c r="K44" s="359" t="str">
        <f t="shared" si="16"/>
        <v/>
      </c>
      <c r="L44" s="359" t="str">
        <f t="shared" si="16"/>
        <v/>
      </c>
      <c r="M44" s="359" t="str">
        <f t="shared" si="16"/>
        <v/>
      </c>
      <c r="N44" s="359" t="str">
        <f t="shared" si="16"/>
        <v/>
      </c>
      <c r="O44" s="358" t="str">
        <f t="shared" si="16"/>
        <v/>
      </c>
      <c r="P44" s="360" t="str">
        <f t="shared" si="16"/>
        <v/>
      </c>
      <c r="Q44" s="115"/>
      <c r="R44" s="115"/>
      <c r="S44" s="115"/>
      <c r="T44" s="115"/>
      <c r="U44" s="115"/>
      <c r="V44" s="115"/>
      <c r="W44" s="115"/>
      <c r="X44" s="115"/>
      <c r="Y44" s="115"/>
      <c r="Z44" s="3"/>
    </row>
    <row r="45" spans="1:33" x14ac:dyDescent="0.2">
      <c r="A45" s="124"/>
      <c r="B45" s="376"/>
      <c r="C45" s="377" t="s">
        <v>2372</v>
      </c>
      <c r="D45" s="377"/>
      <c r="E45" s="377"/>
      <c r="F45" s="377"/>
      <c r="G45" s="377"/>
      <c r="H45" s="377"/>
      <c r="I45" s="377"/>
      <c r="J45" s="377"/>
      <c r="K45" s="377"/>
      <c r="L45" s="377"/>
      <c r="M45" s="377"/>
      <c r="N45" s="377"/>
      <c r="O45" s="377"/>
      <c r="P45" s="378"/>
      <c r="Q45" s="115"/>
      <c r="R45" s="115"/>
      <c r="S45" s="115"/>
      <c r="T45" s="115"/>
      <c r="U45" s="115"/>
      <c r="V45" s="115"/>
      <c r="W45" s="115"/>
      <c r="X45" s="115"/>
      <c r="Y45" s="115"/>
      <c r="Z45" s="3"/>
    </row>
    <row r="46" spans="1:33" x14ac:dyDescent="0.2">
      <c r="A46" s="124"/>
      <c r="B46" s="346"/>
      <c r="C46" s="246"/>
      <c r="D46" s="246"/>
      <c r="E46" s="246"/>
      <c r="F46" s="246"/>
      <c r="G46" s="246"/>
      <c r="H46" s="246"/>
      <c r="I46" s="246"/>
      <c r="J46" s="246"/>
      <c r="K46" s="246"/>
      <c r="L46" s="246"/>
      <c r="M46" s="246"/>
      <c r="N46" s="246"/>
      <c r="O46" s="246"/>
      <c r="P46" s="362"/>
      <c r="Q46" s="115"/>
      <c r="R46" s="115"/>
      <c r="S46" s="115"/>
      <c r="T46" s="115"/>
      <c r="U46" s="115"/>
      <c r="V46" s="115"/>
      <c r="W46" s="115"/>
      <c r="X46" s="115"/>
      <c r="Y46" s="115"/>
      <c r="Z46" s="3"/>
    </row>
    <row r="47" spans="1:33" x14ac:dyDescent="0.2">
      <c r="A47" s="124"/>
      <c r="B47" s="379" t="s">
        <v>857</v>
      </c>
      <c r="C47" s="112"/>
      <c r="D47" s="300" t="str">
        <f>IF($F$50=-90,SUM(D38:D44),"")</f>
        <v/>
      </c>
      <c r="E47" s="300" t="str">
        <f>IF($F$50=-75,SUM(E38:E44),"")</f>
        <v/>
      </c>
      <c r="F47" s="300" t="str">
        <f>IF($F$50=-60,SUM(F38:F44),"")</f>
        <v/>
      </c>
      <c r="G47" s="300" t="str">
        <f>IF($F$50=-45,SUM(G38:G44),"")</f>
        <v/>
      </c>
      <c r="H47" s="300" t="str">
        <f>IF($F$50=-30,SUM(H38:H44),"")</f>
        <v/>
      </c>
      <c r="I47" s="300" t="str">
        <f>IF($F$50=-15,SUM(I38:I44),"")</f>
        <v/>
      </c>
      <c r="J47" s="300">
        <f>IF($F$50=0,SUM(J38:J44),"")</f>
        <v>1256.4705882352941</v>
      </c>
      <c r="K47" s="300" t="str">
        <f>IF($F$50=15,SUM(K38:K44),"")</f>
        <v/>
      </c>
      <c r="L47" s="300" t="str">
        <f>IF($F$50=30,SUM(L38:L44),"")</f>
        <v/>
      </c>
      <c r="M47" s="300" t="str">
        <f>IF($F$50=45,SUM(M38:M44),"")</f>
        <v/>
      </c>
      <c r="N47" s="300" t="str">
        <f>IF($F$50=60,SUM(N38:N44),"")</f>
        <v/>
      </c>
      <c r="O47" s="300" t="str">
        <f>IF($F$50=75,SUM(O38:O44),"")</f>
        <v/>
      </c>
      <c r="P47" s="380" t="str">
        <f>IF($F$50=90,SUM(P38:P44),"")</f>
        <v/>
      </c>
      <c r="Q47" s="115"/>
      <c r="R47" s="115"/>
      <c r="S47" s="115"/>
      <c r="T47" s="115"/>
      <c r="U47" s="115"/>
      <c r="V47" s="115"/>
      <c r="W47" s="115"/>
      <c r="X47" s="115"/>
      <c r="Y47" s="115"/>
      <c r="Z47" s="3"/>
    </row>
    <row r="48" spans="1:33" x14ac:dyDescent="0.2">
      <c r="A48" s="124"/>
      <c r="B48" s="381"/>
      <c r="C48" s="112"/>
      <c r="D48" s="112"/>
      <c r="E48" s="301"/>
      <c r="F48" s="112"/>
      <c r="G48" s="112"/>
      <c r="H48" s="112"/>
      <c r="I48" s="112"/>
      <c r="J48" s="112"/>
      <c r="K48" s="112"/>
      <c r="L48" s="112"/>
      <c r="M48" s="112"/>
      <c r="N48" s="112"/>
      <c r="O48" s="112"/>
      <c r="P48" s="382"/>
      <c r="Q48" s="115"/>
      <c r="R48" s="115"/>
      <c r="S48" s="115"/>
      <c r="T48" s="115"/>
      <c r="U48" s="115"/>
      <c r="V48" s="115"/>
      <c r="W48" s="115"/>
      <c r="X48" s="115"/>
      <c r="Y48" s="115"/>
      <c r="Z48" s="3"/>
    </row>
    <row r="49" spans="1:26" x14ac:dyDescent="0.2">
      <c r="A49" s="124"/>
      <c r="B49" s="381"/>
      <c r="C49" s="302" t="s">
        <v>858</v>
      </c>
      <c r="D49" s="112"/>
      <c r="E49" s="112"/>
      <c r="F49" s="112"/>
      <c r="G49" s="112"/>
      <c r="H49" s="112"/>
      <c r="I49" s="112"/>
      <c r="J49" s="112"/>
      <c r="K49" s="112"/>
      <c r="L49" s="112"/>
      <c r="M49" s="112"/>
      <c r="N49" s="112"/>
      <c r="O49" s="112"/>
      <c r="P49" s="382"/>
      <c r="Q49" s="115"/>
      <c r="R49" s="115"/>
      <c r="S49" s="115"/>
      <c r="T49" s="115"/>
      <c r="U49" s="115"/>
      <c r="V49" s="115"/>
      <c r="W49" s="115"/>
      <c r="X49" s="115"/>
      <c r="Y49" s="115"/>
      <c r="Z49" s="3"/>
    </row>
    <row r="50" spans="1:26" x14ac:dyDescent="0.2">
      <c r="A50" s="124"/>
      <c r="B50" s="381"/>
      <c r="C50" s="112"/>
      <c r="D50" s="112"/>
      <c r="E50" s="303" t="s">
        <v>2416</v>
      </c>
      <c r="F50" s="304">
        <f>Eingabe!$H$23</f>
        <v>0</v>
      </c>
      <c r="G50" s="112" t="s">
        <v>2419</v>
      </c>
      <c r="H50" s="112"/>
      <c r="I50" s="112"/>
      <c r="J50" s="112"/>
      <c r="K50" s="112"/>
      <c r="L50" s="112"/>
      <c r="M50" s="112"/>
      <c r="N50" s="112"/>
      <c r="O50" s="112"/>
      <c r="P50" s="382"/>
      <c r="Q50" s="115"/>
      <c r="R50" s="115"/>
      <c r="S50" s="115"/>
      <c r="T50" s="115"/>
      <c r="U50" s="115"/>
      <c r="V50" s="115"/>
      <c r="W50" s="115"/>
      <c r="X50" s="115"/>
      <c r="Y50" s="115"/>
      <c r="Z50" s="3"/>
    </row>
    <row r="51" spans="1:26" x14ac:dyDescent="0.2">
      <c r="A51" s="124"/>
      <c r="B51" s="363"/>
      <c r="C51" s="364"/>
      <c r="D51" s="364"/>
      <c r="E51" s="383" t="s">
        <v>285</v>
      </c>
      <c r="F51" s="364">
        <f>Eingabe!$H$29</f>
        <v>30</v>
      </c>
      <c r="G51" s="364" t="s">
        <v>2419</v>
      </c>
      <c r="H51" s="384">
        <f>SUM(D47:P47)</f>
        <v>1256.4705882352941</v>
      </c>
      <c r="I51" s="385" t="s">
        <v>97</v>
      </c>
      <c r="J51" s="385"/>
      <c r="K51" s="364"/>
      <c r="L51" s="364"/>
      <c r="M51" s="364"/>
      <c r="N51" s="364"/>
      <c r="O51" s="364"/>
      <c r="P51" s="386"/>
      <c r="Q51" s="115"/>
      <c r="R51" s="115"/>
      <c r="S51" s="115"/>
      <c r="T51" s="115"/>
      <c r="U51" s="115"/>
      <c r="V51" s="115"/>
      <c r="W51" s="115"/>
      <c r="X51" s="115"/>
      <c r="Y51" s="115"/>
      <c r="Z51" s="3"/>
    </row>
    <row r="52" spans="1:26" x14ac:dyDescent="0.2">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algorithmName="SHA-512" hashValue="k1sH5tgVDUobzg2WbBrB/XhKrSbXpNVkAxWMUuuk4ODSQVEGUBVifYiZQ1O3xbnpJpCMt+nn/gV3U+GAL4yTMg==" saltValue="YlbsSfN3jJREXDEgEKmxZg==" spinCount="100000"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22"/>
  </sheetPr>
  <dimension ref="A1:AP100"/>
  <sheetViews>
    <sheetView showGridLines="0" showRowColHeaders="0" zoomScale="80" zoomScaleNormal="80" workbookViewId="0">
      <selection activeCell="P72" sqref="P72"/>
    </sheetView>
  </sheetViews>
  <sheetFormatPr baseColWidth="10" defaultColWidth="11.28515625" defaultRowHeight="12.75" x14ac:dyDescent="0.2"/>
  <cols>
    <col min="1" max="1" width="0.7109375" style="1" customWidth="1"/>
    <col min="2" max="2" width="11.7109375" style="1" customWidth="1"/>
    <col min="3" max="3" width="13.140625" style="1" bestFit="1" customWidth="1"/>
    <col min="4" max="4" width="13.28515625" style="1" bestFit="1" customWidth="1"/>
    <col min="5" max="5" width="12.28515625" style="7" bestFit="1" customWidth="1"/>
    <col min="6" max="6" width="11.140625" style="1" customWidth="1"/>
    <col min="7" max="7" width="9.140625" style="1" bestFit="1" customWidth="1"/>
    <col min="8" max="8" width="13.140625" style="7" bestFit="1" customWidth="1"/>
    <col min="9" max="9" width="11.28515625" style="7"/>
    <col min="10" max="10" width="11" style="7" bestFit="1" customWidth="1"/>
    <col min="11" max="12" width="11" style="1" bestFit="1" customWidth="1"/>
    <col min="13" max="13" width="9.28515625" style="1" bestFit="1" customWidth="1"/>
    <col min="14" max="14" width="3.28515625" style="115" bestFit="1" customWidth="1"/>
    <col min="15" max="15" width="9.140625" style="115" customWidth="1"/>
    <col min="16" max="16" width="12.85546875" style="115" customWidth="1"/>
    <col min="17" max="17" width="11.28515625" style="115" customWidth="1"/>
    <col min="18" max="18" width="10.28515625" style="115" customWidth="1"/>
    <col min="19" max="19" width="12" style="115" customWidth="1"/>
    <col min="20" max="20" width="10.85546875" style="115" customWidth="1"/>
    <col min="21" max="21" width="11.28515625" style="115" customWidth="1"/>
    <col min="22" max="24" width="11.28515625" style="115"/>
    <col min="25" max="25" width="12.7109375" style="1" bestFit="1" customWidth="1"/>
    <col min="26" max="27" width="11.28515625" style="1"/>
    <col min="28" max="28" width="12.7109375" style="1" bestFit="1" customWidth="1"/>
    <col min="29" max="16384" width="11.28515625" style="1"/>
  </cols>
  <sheetData>
    <row r="1" spans="1:42" x14ac:dyDescent="0.2">
      <c r="A1" s="3"/>
      <c r="N1" s="121"/>
      <c r="O1" s="121"/>
      <c r="P1" s="121"/>
      <c r="Q1" s="121"/>
      <c r="R1" s="121"/>
      <c r="S1" s="121"/>
      <c r="T1" s="121"/>
      <c r="U1" s="121"/>
      <c r="V1" s="121"/>
      <c r="W1" s="121"/>
      <c r="X1" s="121"/>
      <c r="Y1" s="103"/>
      <c r="Z1" s="103"/>
      <c r="AA1" s="103"/>
      <c r="AB1" s="103"/>
      <c r="AC1" s="103"/>
      <c r="AD1" s="103"/>
      <c r="AE1" s="103"/>
      <c r="AF1" s="103"/>
      <c r="AG1" s="103"/>
      <c r="AH1" s="103"/>
      <c r="AI1" s="103"/>
      <c r="AJ1" s="103"/>
      <c r="AK1" s="103"/>
      <c r="AL1" s="103"/>
      <c r="AM1" s="425"/>
    </row>
    <row r="2" spans="1:42" x14ac:dyDescent="0.2">
      <c r="A2" s="3"/>
      <c r="Y2" s="115"/>
      <c r="Z2" s="115"/>
      <c r="AA2" s="115"/>
      <c r="AB2" s="115"/>
      <c r="AC2" s="115"/>
      <c r="AD2" s="115"/>
      <c r="AE2" s="115"/>
      <c r="AF2" s="115"/>
      <c r="AG2" s="115"/>
      <c r="AH2" s="115"/>
      <c r="AI2" s="115"/>
      <c r="AJ2" s="299"/>
      <c r="AK2" s="299"/>
      <c r="AL2" s="299"/>
      <c r="AM2" s="426"/>
      <c r="AN2" s="426"/>
      <c r="AO2" s="426"/>
      <c r="AP2" s="426"/>
    </row>
    <row r="3" spans="1:42" x14ac:dyDescent="0.2">
      <c r="A3" s="3"/>
      <c r="B3" s="3"/>
      <c r="C3" s="3"/>
      <c r="D3" s="3"/>
      <c r="E3" s="15"/>
      <c r="F3" s="3"/>
      <c r="G3" s="3"/>
      <c r="H3" s="15"/>
      <c r="I3" s="15"/>
      <c r="J3" s="15"/>
      <c r="K3" s="3"/>
      <c r="L3" s="3"/>
      <c r="M3" s="3"/>
      <c r="O3" s="121"/>
      <c r="P3" s="121"/>
      <c r="Q3" s="121"/>
      <c r="R3" s="121"/>
      <c r="S3" s="121"/>
      <c r="T3" s="121"/>
      <c r="U3" s="121"/>
      <c r="V3" s="121"/>
      <c r="W3" s="121"/>
      <c r="X3" s="121"/>
      <c r="Y3" s="121"/>
      <c r="Z3" s="121"/>
      <c r="AA3" s="121"/>
      <c r="AB3" s="121"/>
      <c r="AC3" s="121"/>
      <c r="AD3" s="121"/>
      <c r="AE3" s="121"/>
      <c r="AF3" s="121"/>
      <c r="AG3" s="121"/>
      <c r="AH3" s="121"/>
      <c r="AI3" s="121"/>
      <c r="AJ3" s="103"/>
      <c r="AK3" s="103"/>
      <c r="AL3" s="103"/>
      <c r="AM3" s="103"/>
      <c r="AN3" s="103"/>
      <c r="AO3" s="103"/>
      <c r="AP3" s="426"/>
    </row>
    <row r="4" spans="1:42" ht="6.75" customHeight="1" x14ac:dyDescent="0.2">
      <c r="A4" s="3"/>
      <c r="B4" s="3"/>
      <c r="C4" s="3"/>
      <c r="D4" s="3"/>
      <c r="E4" s="15"/>
      <c r="F4" s="3"/>
      <c r="G4" s="3"/>
      <c r="H4" s="15"/>
      <c r="I4" s="15"/>
      <c r="J4" s="15"/>
      <c r="K4" s="3"/>
      <c r="L4" s="3"/>
      <c r="M4" s="3"/>
      <c r="O4" s="121"/>
      <c r="P4" s="121"/>
      <c r="Q4" s="121"/>
      <c r="R4" s="121"/>
      <c r="S4" s="121"/>
      <c r="T4" s="121"/>
      <c r="U4" s="121"/>
      <c r="V4" s="121"/>
      <c r="W4" s="121"/>
      <c r="X4" s="121"/>
      <c r="Y4" s="121"/>
      <c r="Z4" s="121"/>
      <c r="AA4" s="121"/>
      <c r="AB4" s="121"/>
      <c r="AC4" s="121"/>
      <c r="AD4" s="121"/>
      <c r="AE4" s="121"/>
      <c r="AF4" s="121"/>
      <c r="AG4" s="121"/>
      <c r="AH4" s="121"/>
      <c r="AI4" s="121"/>
      <c r="AJ4" s="103"/>
      <c r="AK4" s="103"/>
      <c r="AL4" s="103"/>
      <c r="AM4" s="103"/>
      <c r="AN4" s="103"/>
      <c r="AO4" s="103"/>
      <c r="AP4" s="426"/>
    </row>
    <row r="5" spans="1:42" x14ac:dyDescent="0.2">
      <c r="A5" s="3"/>
      <c r="B5" s="264"/>
      <c r="C5" s="264"/>
      <c r="D5" s="264"/>
      <c r="E5" s="264"/>
      <c r="F5" s="264"/>
      <c r="G5" s="264"/>
      <c r="H5" s="264"/>
      <c r="I5" s="264"/>
      <c r="J5" s="264"/>
      <c r="K5" s="264"/>
      <c r="L5" s="265"/>
      <c r="M5" s="265"/>
      <c r="Y5" s="115"/>
      <c r="Z5" s="115"/>
      <c r="AA5" s="115"/>
      <c r="AB5" s="115"/>
      <c r="AC5" s="115"/>
      <c r="AD5" s="115"/>
      <c r="AE5" s="115"/>
      <c r="AF5" s="115"/>
      <c r="AG5" s="115"/>
      <c r="AH5" s="115"/>
      <c r="AI5" s="121"/>
      <c r="AJ5" s="103"/>
      <c r="AK5" s="103"/>
      <c r="AL5" s="103"/>
      <c r="AM5" s="103"/>
      <c r="AN5" s="103"/>
      <c r="AO5" s="103"/>
      <c r="AP5" s="426"/>
    </row>
    <row r="6" spans="1:42" x14ac:dyDescent="0.2">
      <c r="A6" s="3"/>
      <c r="B6" s="387" t="s">
        <v>2293</v>
      </c>
      <c r="C6" s="388">
        <f>Eingabe!H37</f>
        <v>15</v>
      </c>
      <c r="D6" s="389" t="s">
        <v>2166</v>
      </c>
      <c r="E6" s="390" t="s">
        <v>1241</v>
      </c>
      <c r="F6" s="387" t="str">
        <f>'PLZ-Zuordnung'!J3</f>
        <v>O</v>
      </c>
      <c r="G6" s="391"/>
      <c r="H6" s="391"/>
      <c r="I6" s="392"/>
      <c r="J6" s="392"/>
      <c r="K6" s="391"/>
      <c r="L6" s="391"/>
      <c r="M6" s="433"/>
      <c r="N6" s="440"/>
      <c r="O6" s="138"/>
      <c r="P6" s="138"/>
      <c r="Y6" s="115"/>
      <c r="Z6" s="115"/>
      <c r="AA6" s="115"/>
      <c r="AB6" s="115"/>
      <c r="AC6" s="115"/>
      <c r="AD6" s="115"/>
      <c r="AE6" s="115"/>
      <c r="AF6" s="115"/>
      <c r="AG6" s="115"/>
      <c r="AH6" s="115"/>
      <c r="AI6" s="115"/>
      <c r="AJ6" s="299"/>
      <c r="AK6" s="299"/>
      <c r="AL6" s="299"/>
      <c r="AM6" s="103"/>
      <c r="AN6" s="103"/>
      <c r="AO6" s="103"/>
      <c r="AP6" s="426"/>
    </row>
    <row r="7" spans="1:42" x14ac:dyDescent="0.2">
      <c r="A7" s="3"/>
      <c r="B7" s="393" t="s">
        <v>2294</v>
      </c>
      <c r="C7" s="518" t="str">
        <f>Eingabe!H63</f>
        <v>&lt;= 35kWp MwSt. frei</v>
      </c>
      <c r="D7" s="519"/>
      <c r="E7" s="387" t="s">
        <v>2298</v>
      </c>
      <c r="F7" s="394">
        <f>H64</f>
        <v>0</v>
      </c>
      <c r="G7" s="389" t="s">
        <v>2165</v>
      </c>
      <c r="H7" s="392"/>
      <c r="I7" s="392"/>
      <c r="J7" s="392"/>
      <c r="K7" s="391"/>
      <c r="L7" s="391"/>
      <c r="M7" s="433"/>
      <c r="N7" s="440"/>
      <c r="O7" s="138"/>
      <c r="P7" s="138"/>
      <c r="Y7" s="115"/>
      <c r="Z7" s="115"/>
      <c r="AA7" s="115"/>
      <c r="AB7" s="115"/>
      <c r="AC7" s="115"/>
      <c r="AD7" s="115"/>
      <c r="AE7" s="115"/>
      <c r="AF7" s="115"/>
      <c r="AG7" s="115"/>
      <c r="AH7" s="115"/>
      <c r="AI7" s="115"/>
      <c r="AJ7" s="299"/>
      <c r="AK7" s="299"/>
      <c r="AL7" s="299"/>
      <c r="AM7" s="103"/>
      <c r="AN7" s="103"/>
      <c r="AO7" s="103"/>
      <c r="AP7" s="426"/>
    </row>
    <row r="8" spans="1:42" ht="7.5" customHeight="1" x14ac:dyDescent="0.2">
      <c r="A8" s="3"/>
      <c r="B8" s="131"/>
      <c r="C8" s="131"/>
      <c r="D8" s="131"/>
      <c r="E8" s="132"/>
      <c r="F8" s="131"/>
      <c r="G8" s="131"/>
      <c r="H8" s="132"/>
      <c r="I8" s="132"/>
      <c r="J8" s="132"/>
      <c r="K8" s="131"/>
      <c r="L8" s="247"/>
      <c r="M8" s="247"/>
      <c r="Y8" s="115"/>
      <c r="Z8" s="115"/>
      <c r="AA8" s="115"/>
      <c r="AB8" s="115"/>
      <c r="AC8" s="115"/>
      <c r="AD8" s="115"/>
      <c r="AE8" s="115"/>
      <c r="AF8" s="115"/>
      <c r="AG8" s="115"/>
      <c r="AH8" s="115"/>
      <c r="AI8" s="115"/>
      <c r="AJ8" s="299"/>
      <c r="AK8" s="299"/>
      <c r="AL8" s="299"/>
      <c r="AM8" s="103"/>
      <c r="AN8" s="103"/>
      <c r="AO8" s="103"/>
      <c r="AP8" s="426"/>
    </row>
    <row r="9" spans="1:42" x14ac:dyDescent="0.2">
      <c r="A9" s="3"/>
      <c r="B9" s="397" t="s">
        <v>1620</v>
      </c>
      <c r="C9" s="398" t="s">
        <v>1621</v>
      </c>
      <c r="D9" s="398" t="s">
        <v>1623</v>
      </c>
      <c r="E9" s="399" t="s">
        <v>83</v>
      </c>
      <c r="F9" s="398" t="s">
        <v>87</v>
      </c>
      <c r="G9" s="398" t="s">
        <v>2642</v>
      </c>
      <c r="H9" s="398" t="s">
        <v>2641</v>
      </c>
      <c r="I9" s="398" t="s">
        <v>2643</v>
      </c>
      <c r="J9" s="398" t="s">
        <v>85</v>
      </c>
      <c r="K9" s="399" t="s">
        <v>86</v>
      </c>
      <c r="L9" s="399" t="s">
        <v>91</v>
      </c>
      <c r="M9" s="449" t="s">
        <v>2640</v>
      </c>
      <c r="O9" s="441" t="s">
        <v>2043</v>
      </c>
      <c r="P9" s="442" t="s">
        <v>934</v>
      </c>
      <c r="Q9" s="442" t="s">
        <v>607</v>
      </c>
      <c r="R9" s="442" t="s">
        <v>2292</v>
      </c>
      <c r="S9" s="442" t="s">
        <v>605</v>
      </c>
      <c r="T9" s="442" t="s">
        <v>2291</v>
      </c>
      <c r="U9" s="395"/>
      <c r="V9" s="442" t="s">
        <v>2654</v>
      </c>
      <c r="Y9" s="115"/>
      <c r="Z9" s="115"/>
      <c r="AA9" s="115"/>
      <c r="AB9" s="115" t="s">
        <v>2596</v>
      </c>
      <c r="AC9" s="115"/>
      <c r="AD9" s="115"/>
      <c r="AE9" s="115"/>
      <c r="AF9" s="115" t="s">
        <v>2598</v>
      </c>
      <c r="AG9" s="115"/>
      <c r="AH9" s="115"/>
      <c r="AI9" s="115"/>
      <c r="AJ9" s="115" t="s">
        <v>2599</v>
      </c>
      <c r="AK9" s="115"/>
      <c r="AL9" s="115"/>
      <c r="AM9" s="103"/>
      <c r="AN9" s="103"/>
      <c r="AO9" s="103"/>
      <c r="AP9" s="426"/>
    </row>
    <row r="10" spans="1:42" x14ac:dyDescent="0.2">
      <c r="A10" s="3"/>
      <c r="B10" s="400"/>
      <c r="C10" s="401" t="s">
        <v>1624</v>
      </c>
      <c r="D10" s="402" t="s">
        <v>88</v>
      </c>
      <c r="E10" s="401" t="s">
        <v>1622</v>
      </c>
      <c r="F10" s="401" t="s">
        <v>1622</v>
      </c>
      <c r="G10" s="401" t="s">
        <v>1622</v>
      </c>
      <c r="H10" s="401" t="s">
        <v>1622</v>
      </c>
      <c r="I10" s="401" t="s">
        <v>1622</v>
      </c>
      <c r="J10" s="401" t="s">
        <v>1622</v>
      </c>
      <c r="K10" s="401" t="s">
        <v>1622</v>
      </c>
      <c r="L10" s="401" t="s">
        <v>1622</v>
      </c>
      <c r="M10" s="450"/>
      <c r="O10" s="442" t="s">
        <v>1624</v>
      </c>
      <c r="P10" s="442" t="s">
        <v>1624</v>
      </c>
      <c r="Q10" s="442" t="s">
        <v>1624</v>
      </c>
      <c r="R10" s="442" t="s">
        <v>1624</v>
      </c>
      <c r="S10" s="442" t="s">
        <v>1624</v>
      </c>
      <c r="T10" s="442" t="s">
        <v>1624</v>
      </c>
      <c r="U10" s="443"/>
      <c r="V10" s="442" t="s">
        <v>1622</v>
      </c>
      <c r="Y10" s="115" t="s">
        <v>2591</v>
      </c>
      <c r="Z10" s="115" t="s">
        <v>2592</v>
      </c>
      <c r="AA10" s="115"/>
      <c r="AB10" s="115" t="s">
        <v>87</v>
      </c>
      <c r="AC10" s="117" t="s">
        <v>87</v>
      </c>
      <c r="AD10" s="117" t="s">
        <v>2594</v>
      </c>
      <c r="AE10" s="117" t="s">
        <v>2595</v>
      </c>
      <c r="AF10" s="115"/>
      <c r="AG10" s="115"/>
      <c r="AH10" s="115"/>
      <c r="AI10" s="115"/>
      <c r="AJ10" s="115"/>
      <c r="AK10" s="115"/>
      <c r="AL10" s="115"/>
      <c r="AM10" s="103"/>
      <c r="AN10" s="103"/>
      <c r="AO10" s="103"/>
      <c r="AP10" s="426"/>
    </row>
    <row r="11" spans="1:42" x14ac:dyDescent="0.2">
      <c r="A11" s="3"/>
      <c r="B11" s="248">
        <v>0</v>
      </c>
      <c r="C11" s="249"/>
      <c r="D11" s="250"/>
      <c r="E11" s="251"/>
      <c r="F11" s="251">
        <f>Eingabe!H92*Eingabe!H87</f>
        <v>21000</v>
      </c>
      <c r="G11" s="251"/>
      <c r="H11" s="251"/>
      <c r="I11" s="251">
        <f t="shared" ref="I11:I22" si="0">G11+H11</f>
        <v>0</v>
      </c>
      <c r="J11" s="251">
        <f>E11-F11-I11</f>
        <v>-21000</v>
      </c>
      <c r="K11" s="251">
        <f>J11/(1+(Eingabe!H$106/100))^B11</f>
        <v>-21000</v>
      </c>
      <c r="L11" s="251">
        <f>K11</f>
        <v>-21000</v>
      </c>
      <c r="M11" s="451">
        <f>IF(L11&lt;0,N11,0)</f>
        <v>1</v>
      </c>
      <c r="N11" s="115">
        <v>1</v>
      </c>
      <c r="O11" s="388"/>
      <c r="P11" s="441"/>
      <c r="Q11" s="441"/>
      <c r="R11" s="441"/>
      <c r="S11" s="441"/>
      <c r="T11" s="441"/>
      <c r="U11" s="117"/>
      <c r="V11" s="441"/>
      <c r="X11" s="115" t="s">
        <v>825</v>
      </c>
      <c r="Y11" s="115" t="s">
        <v>2593</v>
      </c>
      <c r="Z11" s="115"/>
      <c r="AA11" s="115"/>
      <c r="AB11" s="118">
        <f>F11</f>
        <v>21000</v>
      </c>
      <c r="AC11" s="118">
        <f>F11</f>
        <v>21000</v>
      </c>
      <c r="AD11" s="115"/>
      <c r="AE11" s="115"/>
      <c r="AF11" s="115"/>
      <c r="AG11" s="115"/>
      <c r="AH11" s="115"/>
      <c r="AI11" s="115"/>
      <c r="AJ11" s="115"/>
      <c r="AK11" s="115"/>
      <c r="AL11" s="115"/>
      <c r="AM11" s="103"/>
      <c r="AN11" s="103"/>
      <c r="AO11" s="103"/>
      <c r="AP11" s="426"/>
    </row>
    <row r="12" spans="1:42" x14ac:dyDescent="0.2">
      <c r="A12" s="3"/>
      <c r="B12" s="252">
        <v>1</v>
      </c>
      <c r="C12" s="253">
        <f>IF($C$7="Invest- inkl. Tarifförderung",O12,T12)</f>
        <v>0.13800000000000001</v>
      </c>
      <c r="D12" s="254">
        <f>Eingabe!$H$112*1/(1+(Eingabe!H$98/100))^B11</f>
        <v>15722.216470588242</v>
      </c>
      <c r="E12" s="254">
        <f>C12*D12</f>
        <v>2169.6658729411774</v>
      </c>
      <c r="F12" s="254">
        <f>(Eingabe!H$89*(Eingabe!H$97/100))*((1+(Eingabe!H$102/100))^B11)+(Eingabe!H96*Eingabe!H37)</f>
        <v>105</v>
      </c>
      <c r="G12" s="254">
        <f>IF(AND(Eingabe!$J$88&lt;=Berechnungen!B12,(Eingabe!$J$88+Eingabe!$J$89)&gt;B12),(Eingabe!$H$92*(1-Eingabe!$H$87))/Eingabe!$J$89,0)</f>
        <v>0</v>
      </c>
      <c r="H12" s="254">
        <f>((Eingabe!$H$92*(1-Eingabe!$H$87))-SUM($G$11:G11))*Eingabe!$I$87</f>
        <v>0</v>
      </c>
      <c r="I12" s="254">
        <f t="shared" si="0"/>
        <v>0</v>
      </c>
      <c r="J12" s="254">
        <f t="shared" ref="J12:J36" si="1">E12-F12-I12</f>
        <v>2064.6658729411774</v>
      </c>
      <c r="K12" s="254">
        <f>J12/(1+(Eingabe!H$106/100))^B12</f>
        <v>1985.2556470588245</v>
      </c>
      <c r="L12" s="254">
        <f t="shared" ref="L12:L36" si="2">L11+K12</f>
        <v>-19014.744352941176</v>
      </c>
      <c r="M12" s="452">
        <f>IF(L12&lt;0,N12,0)</f>
        <v>2</v>
      </c>
      <c r="N12" s="115">
        <v>2</v>
      </c>
      <c r="O12" s="444">
        <f>IF(Eingabe!$H$63=Eingabe!$C$169,IF(R12&lt;&gt;0,IF(Eingabe!$H$65=Eingabe!$C$200,S12,R12),P12),IF(Eingabe!$H$63=Eingabe!$C$171,T12,IF(Eingabe!$H$63=Eingabe!$C$170,T12,IF(Eingabe!$H$63=Eingabe!$C$172,T12,"Zuordnung!"))))</f>
        <v>0.13800000000000001</v>
      </c>
      <c r="P12" s="444">
        <f>Eingabe!H$104*(1+(Eingabe!H$105/100))^B11</f>
        <v>0.09</v>
      </c>
      <c r="Q12" s="444">
        <f>Eingabe!H$103*(1+(Eingabe!H$105/100))^B11</f>
        <v>0.25</v>
      </c>
      <c r="R12" s="444">
        <f t="shared" ref="R12:R24" si="3">$F$7</f>
        <v>0</v>
      </c>
      <c r="S12" s="444">
        <f>IF(Eingabe!$H$65="Volleinspeisung",Berechnungen!R12,(R12*Eingabe!$H$74+Berechnungen!Q12*Eingabe!$H$73)/100)</f>
        <v>7.4999999999999997E-2</v>
      </c>
      <c r="T12" s="444">
        <f>(P12*Eingabe!$H$74+Berechnungen!Q12*Eingabe!$H$73)/100</f>
        <v>0.13800000000000001</v>
      </c>
      <c r="U12" s="138"/>
      <c r="V12" s="445">
        <f>IF(Eingabe!$H$112*Eingabe!$H$73/100&gt;25000,IF((Eingabe!$H$112*Eingabe!$H$73/100-25000)*0.015&lt;=50,0,(Eingabe!$H$112*Eingabe!$H$73/100-25000)*0.015),0)</f>
        <v>0</v>
      </c>
      <c r="W12" s="446">
        <f>O12*100</f>
        <v>13.8</v>
      </c>
      <c r="X12" s="447">
        <f>(Q12*Eingabe!$H$73/100)/Eingabe!H79*100</f>
        <v>54.347826086956516</v>
      </c>
      <c r="Y12" s="115">
        <f>Eingabe!$H$73</f>
        <v>30</v>
      </c>
      <c r="Z12" s="115"/>
      <c r="AA12" s="119">
        <f>F12/(1+(Eingabe!H$106/100))^B12</f>
        <v>100.96153846153845</v>
      </c>
      <c r="AB12" s="120">
        <f>AB11+AA12</f>
        <v>21100.961538461539</v>
      </c>
      <c r="AC12" s="118">
        <f>F11+F12</f>
        <v>21105</v>
      </c>
      <c r="AD12" s="118">
        <f>D12</f>
        <v>15722.216470588242</v>
      </c>
      <c r="AE12" s="448">
        <f>AC12/AD12</f>
        <v>1.3423679822422876</v>
      </c>
      <c r="AF12" s="448">
        <f>AB12/AD12</f>
        <v>1.342111118870255</v>
      </c>
      <c r="AG12" s="115">
        <f>IF(AF12&lt;O12,AF12,0)</f>
        <v>0</v>
      </c>
      <c r="AH12" s="115">
        <f t="shared" ref="AH12:AH36" si="4">IF(AG11=0,$AG$37,0)</f>
        <v>0</v>
      </c>
      <c r="AI12" s="115">
        <v>1</v>
      </c>
      <c r="AJ12" s="428">
        <f>AF12*(1+(Eingabe!H$106/100))^AI12</f>
        <v>1.3957955636250652</v>
      </c>
      <c r="AK12" s="115"/>
      <c r="AL12" s="115"/>
      <c r="AM12" s="103"/>
      <c r="AN12" s="103"/>
      <c r="AO12" s="103"/>
      <c r="AP12" s="426"/>
    </row>
    <row r="13" spans="1:42" x14ac:dyDescent="0.2">
      <c r="A13" s="3"/>
      <c r="B13" s="252">
        <v>2</v>
      </c>
      <c r="C13" s="253">
        <f t="shared" ref="C13:C36" si="5">IF($C$7="Invest- inkl. Tarifförderung",O13,T13)</f>
        <v>0.14076</v>
      </c>
      <c r="D13" s="254">
        <f>Eingabe!$H$112*1/(1+(Eingabe!H$98/100))^B12</f>
        <v>15643.996488147506</v>
      </c>
      <c r="E13" s="254">
        <f t="shared" ref="E13:E36" si="6">C13*D13</f>
        <v>2202.0489456716427</v>
      </c>
      <c r="F13" s="254">
        <f>(Eingabe!H$89*(Eingabe!H$97/100))*((1+(Eingabe!H$102/100))^B12)+(Eingabe!H96*Eingabe!H37)</f>
        <v>109.2</v>
      </c>
      <c r="G13" s="254">
        <f>IF(AND(Eingabe!$J$88&lt;=Berechnungen!B13,(Eingabe!$J$88+Eingabe!$J$89)&gt;B13),(Eingabe!$H$92*(1-Eingabe!$H$87))/Eingabe!$J$89,0)</f>
        <v>0</v>
      </c>
      <c r="H13" s="254">
        <f>((Eingabe!$H$92*(1-Eingabe!$H$87))-SUM($G$11:G12))*Eingabe!$I$87</f>
        <v>0</v>
      </c>
      <c r="I13" s="254">
        <f t="shared" si="0"/>
        <v>0</v>
      </c>
      <c r="J13" s="254">
        <f t="shared" si="1"/>
        <v>2092.8489456716429</v>
      </c>
      <c r="K13" s="254">
        <f>J13/(1+(Eingabe!H$106/100))^B13</f>
        <v>1934.956495628368</v>
      </c>
      <c r="L13" s="254">
        <f t="shared" si="2"/>
        <v>-17079.787857312807</v>
      </c>
      <c r="M13" s="452">
        <f t="shared" ref="M13:M36" si="7">IF(L13&lt;0,N13,0)</f>
        <v>3</v>
      </c>
      <c r="N13" s="115">
        <v>3</v>
      </c>
      <c r="O13" s="444">
        <f>IF(Eingabe!$H$63=Eingabe!$C$169,IF(R13&lt;&gt;0,IF(Eingabe!$H$65=Eingabe!$C$200,S13,R13),P13),IF(Eingabe!$H$63=Eingabe!$C$171,T13,IF(Eingabe!$H$63=Eingabe!$C$170,T13,IF(Eingabe!$H$63=Eingabe!$C$172,T13,"Zuordnung!"))))</f>
        <v>0.14076</v>
      </c>
      <c r="P13" s="444">
        <f>Eingabe!H$104*(1+(Eingabe!H$105/100))^B12</f>
        <v>9.1799999999999993E-2</v>
      </c>
      <c r="Q13" s="444">
        <f>Eingabe!H$103*(1+(Eingabe!H$105/100))^B12</f>
        <v>0.255</v>
      </c>
      <c r="R13" s="444">
        <f t="shared" si="3"/>
        <v>0</v>
      </c>
      <c r="S13" s="444">
        <f>IF(Eingabe!$H$65="Volleinspeisung",Berechnungen!R13,(R13*Eingabe!$H$74+Berechnungen!Q13*Eingabe!$H$73)/100)</f>
        <v>7.6499999999999999E-2</v>
      </c>
      <c r="T13" s="444">
        <f>(P13*Eingabe!$H$74+Berechnungen!Q13*Eingabe!$H$73)/100</f>
        <v>0.14076</v>
      </c>
      <c r="U13" s="138"/>
      <c r="V13" s="445">
        <f>IF(Eingabe!$H$112*Eingabe!$H$73/100&gt;25000,IF((Eingabe!$H$112*Eingabe!$H$73/100-25000)*0.015&lt;=50,0,(Eingabe!$H$112*Eingabe!$H$73/100-25000)*0.015),0)</f>
        <v>0</v>
      </c>
      <c r="W13" s="446">
        <f t="shared" ref="W13:W36" si="8">O13*100</f>
        <v>14.076000000000001</v>
      </c>
      <c r="X13" s="447">
        <f>(P12*Eingabe!$H$74/100)/Eingabe!H79*100</f>
        <v>45.652173913043477</v>
      </c>
      <c r="Y13" s="115">
        <f>Eingabe!$H$74</f>
        <v>70</v>
      </c>
      <c r="Z13" s="115"/>
      <c r="AA13" s="119">
        <f>F13/(1+(Eingabe!H$106/100))^B13</f>
        <v>100.96153846153845</v>
      </c>
      <c r="AB13" s="120">
        <f t="shared" ref="AB13:AB36" si="9">AB12+AA13</f>
        <v>21201.923076923078</v>
      </c>
      <c r="AC13" s="118">
        <f t="shared" ref="AC13:AC36" si="10">AC12+F13</f>
        <v>21214.2</v>
      </c>
      <c r="AD13" s="118">
        <f t="shared" ref="AD13:AD36" si="11">AD12+D13</f>
        <v>31366.212958735749</v>
      </c>
      <c r="AE13" s="448">
        <f t="shared" ref="AE13:AE36" si="12">AC13/AD13</f>
        <v>0.67633921978112665</v>
      </c>
      <c r="AF13" s="448">
        <f t="shared" ref="AF13:AF36" si="13">AB13/AD13</f>
        <v>0.6759478138089402</v>
      </c>
      <c r="AG13" s="115">
        <f t="shared" ref="AG13:AG36" si="14">IF(AF13&lt;O13,AF13,0)</f>
        <v>0</v>
      </c>
      <c r="AH13" s="115">
        <f t="shared" si="4"/>
        <v>0</v>
      </c>
      <c r="AI13" s="115">
        <v>2</v>
      </c>
      <c r="AJ13" s="428">
        <f>AF13*(1+(Eingabe!H$106/100))^AI13</f>
        <v>0.73110515541574983</v>
      </c>
      <c r="AK13" s="115"/>
      <c r="AL13" s="115"/>
      <c r="AM13" s="103"/>
      <c r="AN13" s="103"/>
      <c r="AO13" s="103"/>
      <c r="AP13" s="426"/>
    </row>
    <row r="14" spans="1:42" x14ac:dyDescent="0.2">
      <c r="A14" s="3"/>
      <c r="B14" s="252">
        <v>3</v>
      </c>
      <c r="C14" s="253">
        <f t="shared" si="5"/>
        <v>0.14357520000000001</v>
      </c>
      <c r="D14" s="254">
        <f>Eingabe!$H$112*1/(1+(Eingabe!H$98/100))^B13</f>
        <v>15566.165659848268</v>
      </c>
      <c r="E14" s="254">
        <f t="shared" si="6"/>
        <v>2234.915347845847</v>
      </c>
      <c r="F14" s="254">
        <f>(Eingabe!H$89*(Eingabe!H$97/100))*((1+(Eingabe!H$102/100))^B13)+(Eingabe!H96*Eingabe!H37)</f>
        <v>113.56800000000001</v>
      </c>
      <c r="G14" s="254">
        <f>IF(AND(Eingabe!$J$88&lt;=Berechnungen!B14,(Eingabe!$J$88+Eingabe!$J$89)&gt;B14),(Eingabe!$H$92*(1-Eingabe!$H$87))/Eingabe!$J$89,0)</f>
        <v>0</v>
      </c>
      <c r="H14" s="254">
        <f>((Eingabe!$H$92*(1-Eingabe!$H$87))-SUM($G$11:G13))*Eingabe!$I$87</f>
        <v>0</v>
      </c>
      <c r="I14" s="254">
        <f t="shared" si="0"/>
        <v>0</v>
      </c>
      <c r="J14" s="254">
        <f t="shared" si="1"/>
        <v>2121.3473478458468</v>
      </c>
      <c r="K14" s="254">
        <f>J14/(1+(Eingabe!H$106/100))^B14</f>
        <v>1885.8700677111603</v>
      </c>
      <c r="L14" s="254">
        <f t="shared" si="2"/>
        <v>-15193.917789601646</v>
      </c>
      <c r="M14" s="452">
        <f t="shared" si="7"/>
        <v>4</v>
      </c>
      <c r="N14" s="115">
        <v>4</v>
      </c>
      <c r="O14" s="444">
        <f>IF(Eingabe!$H$63=Eingabe!$C$169,IF(R14&lt;&gt;0,IF(Eingabe!$H$65=Eingabe!$C$200,S14,R14),P14),IF(Eingabe!$H$63=Eingabe!$C$171,T14,IF(Eingabe!$H$63=Eingabe!$C$170,T14,IF(Eingabe!$H$63=Eingabe!$C$172,T14,"Zuordnung!"))))</f>
        <v>0.14357520000000001</v>
      </c>
      <c r="P14" s="444">
        <f>Eingabe!H$104*(1+(Eingabe!H$105/100))^B13</f>
        <v>9.3635999999999997E-2</v>
      </c>
      <c r="Q14" s="444">
        <f>Eingabe!H$103*(1+(Eingabe!H$105/100))^B13</f>
        <v>0.2601</v>
      </c>
      <c r="R14" s="444">
        <f t="shared" si="3"/>
        <v>0</v>
      </c>
      <c r="S14" s="444">
        <f>IF(Eingabe!$H$65="Volleinspeisung",Berechnungen!R14,(R14*Eingabe!$H$74+Berechnungen!Q14*Eingabe!$H$73)/100)</f>
        <v>7.8030000000000002E-2</v>
      </c>
      <c r="T14" s="444">
        <f>(P14*Eingabe!$H$74+Berechnungen!Q14*Eingabe!$H$73)/100</f>
        <v>0.14357520000000001</v>
      </c>
      <c r="U14" s="138"/>
      <c r="V14" s="445">
        <f>IF(Eingabe!$H$112*Eingabe!$H$73/100&gt;25000,IF((Eingabe!$H$112*Eingabe!$H$73/100-25000)*0.015&lt;=50,0,(Eingabe!$H$112*Eingabe!$H$73/100-25000)*0.015),0)</f>
        <v>0</v>
      </c>
      <c r="W14" s="446">
        <f t="shared" si="8"/>
        <v>14.357520000000001</v>
      </c>
      <c r="X14" s="447">
        <f>P14*Eingabe!$H$74/100</f>
        <v>6.5545199999999998E-2</v>
      </c>
      <c r="Y14" s="447">
        <f>Q14*Eingabe!$H$73/100</f>
        <v>7.8030000000000002E-2</v>
      </c>
      <c r="Z14" s="115"/>
      <c r="AA14" s="119">
        <f>F14/(1+(Eingabe!H$106/100))^B14</f>
        <v>100.96153846153847</v>
      </c>
      <c r="AB14" s="120">
        <f t="shared" si="9"/>
        <v>21302.884615384617</v>
      </c>
      <c r="AC14" s="118">
        <f t="shared" si="10"/>
        <v>21327.768</v>
      </c>
      <c r="AD14" s="118">
        <f t="shared" si="11"/>
        <v>46932.378618584014</v>
      </c>
      <c r="AE14" s="448">
        <f t="shared" si="12"/>
        <v>0.45443611910935094</v>
      </c>
      <c r="AF14" s="448">
        <f t="shared" si="13"/>
        <v>0.45390592257237999</v>
      </c>
      <c r="AG14" s="115">
        <f t="shared" si="14"/>
        <v>0</v>
      </c>
      <c r="AH14" s="115">
        <f t="shared" si="4"/>
        <v>0</v>
      </c>
      <c r="AI14" s="115">
        <v>3</v>
      </c>
      <c r="AJ14" s="428">
        <f>AF14*(1+(Eingabe!H$106/100))^AI14</f>
        <v>0.51058243168845774</v>
      </c>
      <c r="AK14" s="115"/>
      <c r="AL14" s="115"/>
      <c r="AM14" s="103"/>
      <c r="AN14" s="103"/>
      <c r="AO14" s="103"/>
      <c r="AP14" s="426"/>
    </row>
    <row r="15" spans="1:42" x14ac:dyDescent="0.2">
      <c r="A15" s="3"/>
      <c r="B15" s="252">
        <v>4</v>
      </c>
      <c r="C15" s="253">
        <f t="shared" si="5"/>
        <v>0.14644670399999998</v>
      </c>
      <c r="D15" s="254">
        <f>Eingabe!$H$112*1/(1+(Eingabe!H$98/100))^B14</f>
        <v>15488.722049600268</v>
      </c>
      <c r="E15" s="254">
        <f t="shared" si="6"/>
        <v>2268.2722933360837</v>
      </c>
      <c r="F15" s="254">
        <f>(Eingabe!H$89*(Eingabe!H$97/100))*((1+(Eingabe!H$102/100))^B14)+(Eingabe!H96*Eingabe!H37)</f>
        <v>118.11072000000001</v>
      </c>
      <c r="G15" s="254">
        <f>IF(AND(Eingabe!$J$88&lt;=Berechnungen!B15,(Eingabe!$J$88+Eingabe!$J$89)&gt;B15),(Eingabe!$H$92*(1-Eingabe!$H$87))/Eingabe!$J$89,0)</f>
        <v>0</v>
      </c>
      <c r="H15" s="254">
        <f>((Eingabe!$H$92*(1-Eingabe!$H$87))-SUM($G$11:G14))*Eingabe!$I$87</f>
        <v>0</v>
      </c>
      <c r="I15" s="254">
        <f t="shared" si="0"/>
        <v>0</v>
      </c>
      <c r="J15" s="254">
        <f t="shared" si="1"/>
        <v>2150.1615733360836</v>
      </c>
      <c r="K15" s="254">
        <f>J15/(1+(Eingabe!H$106/100))^B15</f>
        <v>1837.9671242787531</v>
      </c>
      <c r="L15" s="254">
        <f t="shared" si="2"/>
        <v>-13355.950665322893</v>
      </c>
      <c r="M15" s="452">
        <f t="shared" si="7"/>
        <v>5</v>
      </c>
      <c r="N15" s="115">
        <v>5</v>
      </c>
      <c r="O15" s="444">
        <f>IF(Eingabe!$H$63=Eingabe!$C$169,IF(R15&lt;&gt;0,IF(Eingabe!$H$65=Eingabe!$C$200,S15,R15),P15),IF(Eingabe!$H$63=Eingabe!$C$171,T15,IF(Eingabe!$H$63=Eingabe!$C$170,T15,IF(Eingabe!$H$63=Eingabe!$C$172,T15,"Zuordnung!"))))</f>
        <v>0.14644670399999998</v>
      </c>
      <c r="P15" s="444">
        <f>Eingabe!H$104*(1+(Eingabe!H$105/100))^B14</f>
        <v>9.5508719999999991E-2</v>
      </c>
      <c r="Q15" s="444">
        <f>Eingabe!H$103*(1+(Eingabe!H$105/100))^B14</f>
        <v>0.26530199999999998</v>
      </c>
      <c r="R15" s="444">
        <f t="shared" si="3"/>
        <v>0</v>
      </c>
      <c r="S15" s="444">
        <f>IF(Eingabe!$H$65="Volleinspeisung",Berechnungen!R15,(R15*Eingabe!$H$74+Berechnungen!Q15*Eingabe!$H$73)/100)</f>
        <v>7.9590599999999997E-2</v>
      </c>
      <c r="T15" s="444">
        <f>(P15*Eingabe!$H$74+Berechnungen!Q15*Eingabe!$H$73)/100</f>
        <v>0.14644670399999998</v>
      </c>
      <c r="U15" s="138"/>
      <c r="V15" s="445">
        <f>IF(Eingabe!$H$112*Eingabe!$H$73/100&gt;25000,IF((Eingabe!$H$112*Eingabe!$H$73/100-25000)*0.015&lt;=50,0,(Eingabe!$H$112*Eingabe!$H$73/100-25000)*0.015),0)</f>
        <v>0</v>
      </c>
      <c r="W15" s="446">
        <f t="shared" si="8"/>
        <v>14.644670399999999</v>
      </c>
      <c r="X15" s="447">
        <f>P15*Eingabe!$H$74/100</f>
        <v>6.6856104E-2</v>
      </c>
      <c r="Y15" s="447">
        <f>Q15*Eingabe!$H$73/100</f>
        <v>7.9590599999999997E-2</v>
      </c>
      <c r="Z15" s="115"/>
      <c r="AA15" s="119">
        <f>F15/(1+(Eingabe!H$106/100))^B15</f>
        <v>100.96153846153845</v>
      </c>
      <c r="AB15" s="120">
        <f t="shared" si="9"/>
        <v>21403.846153846156</v>
      </c>
      <c r="AC15" s="118">
        <f t="shared" si="10"/>
        <v>21445.878720000001</v>
      </c>
      <c r="AD15" s="118">
        <f t="shared" si="11"/>
        <v>62421.100668184285</v>
      </c>
      <c r="AE15" s="448">
        <f t="shared" si="12"/>
        <v>0.34356777580711351</v>
      </c>
      <c r="AF15" s="448">
        <f t="shared" si="13"/>
        <v>0.34289440469215543</v>
      </c>
      <c r="AG15" s="115">
        <f t="shared" si="14"/>
        <v>0</v>
      </c>
      <c r="AH15" s="115">
        <f t="shared" si="4"/>
        <v>0</v>
      </c>
      <c r="AI15" s="115">
        <v>4</v>
      </c>
      <c r="AJ15" s="428">
        <f>AF15*(1+(Eingabe!H$106/100))^AI15</f>
        <v>0.40113795450522227</v>
      </c>
      <c r="AK15" s="115"/>
      <c r="AL15" s="115"/>
      <c r="AM15" s="103"/>
      <c r="AN15" s="103"/>
      <c r="AO15" s="103"/>
      <c r="AP15" s="426"/>
    </row>
    <row r="16" spans="1:42" x14ac:dyDescent="0.2">
      <c r="A16" s="3"/>
      <c r="B16" s="252">
        <v>5</v>
      </c>
      <c r="C16" s="253">
        <f t="shared" si="5"/>
        <v>0.14937563808000001</v>
      </c>
      <c r="D16" s="254">
        <f>Eingabe!$H$112*1/(1+(Eingabe!H$98/100))^B15</f>
        <v>15411.663730945544</v>
      </c>
      <c r="E16" s="254">
        <f t="shared" si="6"/>
        <v>2302.1271036843841</v>
      </c>
      <c r="F16" s="254">
        <f>(Eingabe!H$89*(Eingabe!H$97/100))*((1+(Eingabe!H$102/100))^B15)+(Eingabe!H96*Eingabe!H37)</f>
        <v>122.83514880000003</v>
      </c>
      <c r="G16" s="254">
        <f>IF(AND(Eingabe!$J$88&lt;=Berechnungen!B16,(Eingabe!$J$88+Eingabe!$J$89)&gt;B16),(Eingabe!$H$92*(1-Eingabe!$H$87))/Eingabe!$J$89,0)</f>
        <v>0</v>
      </c>
      <c r="H16" s="254">
        <f>((Eingabe!$H$92*(1-Eingabe!$H$87))-SUM($G$11:G15))*Eingabe!$I$87</f>
        <v>0</v>
      </c>
      <c r="I16" s="254">
        <f t="shared" si="0"/>
        <v>0</v>
      </c>
      <c r="J16" s="254">
        <f t="shared" si="1"/>
        <v>2179.2919548843843</v>
      </c>
      <c r="K16" s="254">
        <f>J16/(1+(Eingabe!H$106/100))^B16</f>
        <v>1791.2191312620532</v>
      </c>
      <c r="L16" s="254">
        <f t="shared" si="2"/>
        <v>-11564.73153406084</v>
      </c>
      <c r="M16" s="452">
        <f t="shared" si="7"/>
        <v>6</v>
      </c>
      <c r="N16" s="115">
        <v>6</v>
      </c>
      <c r="O16" s="444">
        <f>IF(Eingabe!$H$63=Eingabe!$C$169,IF(R16&lt;&gt;0,IF(Eingabe!$H$65=Eingabe!$C$200,S16,R16),P16),IF(Eingabe!$H$63=Eingabe!$C$171,T16,IF(Eingabe!$H$63=Eingabe!$C$170,T16,IF(Eingabe!$H$63=Eingabe!$C$172,T16,"Zuordnung!"))))</f>
        <v>0.14937563808000001</v>
      </c>
      <c r="P16" s="444">
        <f>Eingabe!H$104*(1+(Eingabe!H$105/100))^B15</f>
        <v>9.7418894399999997E-2</v>
      </c>
      <c r="Q16" s="444">
        <f>Eingabe!H$103*(1+(Eingabe!H$105/100))^B15</f>
        <v>0.27060803999999999</v>
      </c>
      <c r="R16" s="444">
        <f t="shared" si="3"/>
        <v>0</v>
      </c>
      <c r="S16" s="444">
        <f>IF(Eingabe!$H$65="Volleinspeisung",Berechnungen!R16,(R16*Eingabe!$H$74+Berechnungen!Q16*Eingabe!$H$73)/100)</f>
        <v>8.1182411999999995E-2</v>
      </c>
      <c r="T16" s="444">
        <f>(P16*Eingabe!$H$74+Berechnungen!Q16*Eingabe!$H$73)/100</f>
        <v>0.14937563808000001</v>
      </c>
      <c r="U16" s="138"/>
      <c r="V16" s="445">
        <f>IF(Eingabe!$H$112*Eingabe!$H$73/100&gt;25000,IF((Eingabe!$H$112*Eingabe!$H$73/100-25000)*0.015&lt;=50,0,(Eingabe!$H$112*Eingabe!$H$73/100-25000)*0.015),0)</f>
        <v>0</v>
      </c>
      <c r="W16" s="446">
        <f t="shared" si="8"/>
        <v>14.937563808000002</v>
      </c>
      <c r="X16" s="447">
        <f>P16*Eingabe!$H$74/100</f>
        <v>6.8193226080000002E-2</v>
      </c>
      <c r="Y16" s="447">
        <f>Q16*Eingabe!$H$73/100</f>
        <v>8.1182411999999995E-2</v>
      </c>
      <c r="Z16" s="115"/>
      <c r="AA16" s="119">
        <f>F16/(1+(Eingabe!H$106/100))^B16</f>
        <v>100.96153846153845</v>
      </c>
      <c r="AB16" s="120">
        <f t="shared" si="9"/>
        <v>21504.807692307695</v>
      </c>
      <c r="AC16" s="118">
        <f t="shared" si="10"/>
        <v>21568.713868800001</v>
      </c>
      <c r="AD16" s="118">
        <f t="shared" si="11"/>
        <v>77832.764399129825</v>
      </c>
      <c r="AE16" s="448">
        <f t="shared" si="12"/>
        <v>0.27711612243649336</v>
      </c>
      <c r="AF16" s="448">
        <f t="shared" si="13"/>
        <v>0.27629505206869048</v>
      </c>
      <c r="AG16" s="115">
        <f t="shared" si="14"/>
        <v>0</v>
      </c>
      <c r="AH16" s="115">
        <f t="shared" si="4"/>
        <v>0</v>
      </c>
      <c r="AI16" s="115">
        <v>5</v>
      </c>
      <c r="AJ16" s="428">
        <f>AF16*(1+(Eingabe!H$106/100))^AI16</f>
        <v>0.33615517701813152</v>
      </c>
      <c r="AK16" s="115"/>
      <c r="AL16" s="115"/>
      <c r="AM16" s="103"/>
      <c r="AN16" s="103"/>
      <c r="AO16" s="103"/>
      <c r="AP16" s="426"/>
    </row>
    <row r="17" spans="1:42" x14ac:dyDescent="0.2">
      <c r="A17" s="3"/>
      <c r="B17" s="252">
        <v>6</v>
      </c>
      <c r="C17" s="253">
        <f t="shared" si="5"/>
        <v>0.15236315084160001</v>
      </c>
      <c r="D17" s="254">
        <f>Eingabe!$H$112*1/(1+(Eingabe!H$98/100))^B16</f>
        <v>15334.988787010494</v>
      </c>
      <c r="E17" s="254">
        <f t="shared" si="6"/>
        <v>2336.4872097095249</v>
      </c>
      <c r="F17" s="254">
        <f>(Eingabe!H$89*(Eingabe!H$97/100))*((1+(Eingabe!H$102/100))^B16)+IF(Eingabe!G95="viermal",Eingabe!H95,0)+(Eingabe!H96*Eingabe!H37)</f>
        <v>127.74855475200003</v>
      </c>
      <c r="G17" s="254">
        <f>IF(AND(Eingabe!$J$88&lt;=Berechnungen!B17,(Eingabe!$J$88+Eingabe!$J$89)&gt;B17),(Eingabe!$H$92*(1-Eingabe!$H$87))/Eingabe!$J$89,0)</f>
        <v>0</v>
      </c>
      <c r="H17" s="254">
        <f>((Eingabe!$H$92*(1-Eingabe!$H$87))-SUM($G$11:G16))*Eingabe!$I$87</f>
        <v>0</v>
      </c>
      <c r="I17" s="254">
        <f t="shared" si="0"/>
        <v>0</v>
      </c>
      <c r="J17" s="254">
        <f t="shared" si="1"/>
        <v>2208.7386549575249</v>
      </c>
      <c r="K17" s="254">
        <f>J17/(1+(Eingabe!H$106/100))^B17</f>
        <v>1745.5982425545963</v>
      </c>
      <c r="L17" s="254">
        <f t="shared" si="2"/>
        <v>-9819.1332915062449</v>
      </c>
      <c r="M17" s="452">
        <f t="shared" si="7"/>
        <v>7</v>
      </c>
      <c r="N17" s="115">
        <v>7</v>
      </c>
      <c r="O17" s="444">
        <f>IF(Eingabe!$H$63=Eingabe!$C$169,IF(R17&lt;&gt;0,IF(Eingabe!$H$65=Eingabe!$C$200,S17,R17),P17),IF(Eingabe!$H$63=Eingabe!$C$171,T17,IF(Eingabe!$H$63=Eingabe!$C$170,T17,IF(Eingabe!$H$63=Eingabe!$C$172,T17,"Zuordnung!"))))</f>
        <v>0.15236315084160001</v>
      </c>
      <c r="P17" s="444">
        <f>Eingabe!H$104*(1+(Eingabe!H$105/100))^B16</f>
        <v>9.9367272287999991E-2</v>
      </c>
      <c r="Q17" s="444">
        <f>Eingabe!H$103*(1+(Eingabe!H$105/100))^B16</f>
        <v>0.2760202008</v>
      </c>
      <c r="R17" s="444">
        <f t="shared" si="3"/>
        <v>0</v>
      </c>
      <c r="S17" s="444">
        <f>IF(Eingabe!$H$65="Volleinspeisung",Berechnungen!R17,(R17*Eingabe!$H$74+Berechnungen!Q17*Eingabe!$H$73)/100)</f>
        <v>8.2806060240000007E-2</v>
      </c>
      <c r="T17" s="444">
        <f>(P17*Eingabe!$H$74+Berechnungen!Q17*Eingabe!$H$73)/100</f>
        <v>0.15236315084160001</v>
      </c>
      <c r="U17" s="138"/>
      <c r="V17" s="445">
        <f>IF(Eingabe!$H$112*Eingabe!$H$73/100&gt;25000,IF((Eingabe!$H$112*Eingabe!$H$73/100-25000)*0.015&lt;=50,0,(Eingabe!$H$112*Eingabe!$H$73/100-25000)*0.015),0)</f>
        <v>0</v>
      </c>
      <c r="W17" s="446">
        <f t="shared" si="8"/>
        <v>15.236315084160001</v>
      </c>
      <c r="X17" s="447">
        <f>P17*Eingabe!$H$74/100</f>
        <v>6.9557090601599994E-2</v>
      </c>
      <c r="Y17" s="447">
        <f>Q17*Eingabe!$H$73/100</f>
        <v>8.2806060240000007E-2</v>
      </c>
      <c r="Z17" s="115"/>
      <c r="AA17" s="119">
        <f>F17/(1+(Eingabe!H$106/100))^B17</f>
        <v>100.96153846153845</v>
      </c>
      <c r="AB17" s="120">
        <f t="shared" si="9"/>
        <v>21605.769230769234</v>
      </c>
      <c r="AC17" s="118">
        <f t="shared" si="10"/>
        <v>21696.462423552002</v>
      </c>
      <c r="AD17" s="118">
        <f t="shared" si="11"/>
        <v>93167.753186140326</v>
      </c>
      <c r="AE17" s="448">
        <f t="shared" si="12"/>
        <v>0.23287523506340793</v>
      </c>
      <c r="AF17" s="448">
        <f t="shared" si="13"/>
        <v>0.2319017953304397</v>
      </c>
      <c r="AG17" s="115">
        <f t="shared" si="14"/>
        <v>0</v>
      </c>
      <c r="AH17" s="115">
        <f t="shared" si="4"/>
        <v>0</v>
      </c>
      <c r="AI17" s="115">
        <v>6</v>
      </c>
      <c r="AJ17" s="428">
        <f>AF17*(1+(Eingabe!H$106/100))^AI17</f>
        <v>0.29342975205497229</v>
      </c>
      <c r="AK17" s="115"/>
      <c r="AL17" s="115"/>
      <c r="AM17" s="103"/>
      <c r="AN17" s="103"/>
      <c r="AO17" s="103"/>
      <c r="AP17" s="426"/>
    </row>
    <row r="18" spans="1:42" x14ac:dyDescent="0.2">
      <c r="A18" s="3"/>
      <c r="B18" s="252">
        <v>7</v>
      </c>
      <c r="C18" s="253">
        <f t="shared" si="5"/>
        <v>0.15541041385843202</v>
      </c>
      <c r="D18" s="254">
        <f>Eingabe!$H$112*1/(1+(Eingabe!H$98/100))^B17</f>
        <v>15258.695310458206</v>
      </c>
      <c r="E18" s="254">
        <f t="shared" si="6"/>
        <v>2371.3601531380255</v>
      </c>
      <c r="F18" s="254">
        <f>(Eingabe!H$89*(Eingabe!H$97/100))*((1+(Eingabe!H$102/100))^B17)+IF(Eingabe!G95="dreimal",Eingabe!H95,0)+(Eingabe!H96*Eingabe!H37)</f>
        <v>132.85849694208005</v>
      </c>
      <c r="G18" s="254">
        <f>IF(AND(Eingabe!$J$88&lt;=Berechnungen!B18,(Eingabe!$J$88+Eingabe!$J$89)&gt;B18),(Eingabe!$H$92*(1-Eingabe!$H$87))/Eingabe!$J$89,0)</f>
        <v>0</v>
      </c>
      <c r="H18" s="254">
        <f>((Eingabe!$H$92*(1-Eingabe!$H$87))-SUM($G$11:G17))*Eingabe!$I$87</f>
        <v>0</v>
      </c>
      <c r="I18" s="254">
        <f t="shared" si="0"/>
        <v>0</v>
      </c>
      <c r="J18" s="254">
        <f t="shared" si="1"/>
        <v>2238.5016561959455</v>
      </c>
      <c r="K18" s="254">
        <f>J18/(1+(Eingabe!H$106/100))^B18</f>
        <v>1701.0772834256197</v>
      </c>
      <c r="L18" s="254">
        <f t="shared" si="2"/>
        <v>-8118.0560080806254</v>
      </c>
      <c r="M18" s="452">
        <f t="shared" si="7"/>
        <v>8</v>
      </c>
      <c r="N18" s="115">
        <v>8</v>
      </c>
      <c r="O18" s="444">
        <f>IF(Eingabe!$H$63=Eingabe!$C$169,IF(R18&lt;&gt;0,IF(Eingabe!$H$65=Eingabe!$C$200,S18,R18),P18),IF(Eingabe!$H$63=Eingabe!$C$171,T18,IF(Eingabe!$H$63=Eingabe!$C$170,T18,IF(Eingabe!$H$63=Eingabe!$C$172,T18,"Zuordnung!"))))</f>
        <v>0.15541041385843202</v>
      </c>
      <c r="P18" s="444">
        <f>Eingabe!H$104*(1+(Eingabe!H$105/100))^B17</f>
        <v>0.10135461773376001</v>
      </c>
      <c r="Q18" s="444">
        <f>Eingabe!H$103*(1+(Eingabe!H$105/100))^B17</f>
        <v>0.28154060481600002</v>
      </c>
      <c r="R18" s="444">
        <f t="shared" si="3"/>
        <v>0</v>
      </c>
      <c r="S18" s="444">
        <f>IF(Eingabe!$H$65="Volleinspeisung",Berechnungen!R18,(R18*Eingabe!$H$74+Berechnungen!Q18*Eingabe!$H$73)/100)</f>
        <v>8.4462181444800014E-2</v>
      </c>
      <c r="T18" s="444">
        <f>(P18*Eingabe!$H$74+Berechnungen!Q18*Eingabe!$H$73)/100</f>
        <v>0.15541041385843202</v>
      </c>
      <c r="U18" s="138"/>
      <c r="V18" s="445">
        <f>IF(Eingabe!$H$112*Eingabe!$H$73/100&gt;25000,IF((Eingabe!$H$112*Eingabe!$H$73/100-25000)*0.015&lt;=50,0,(Eingabe!$H$112*Eingabe!$H$73/100-25000)*0.015),0)</f>
        <v>0</v>
      </c>
      <c r="W18" s="446">
        <f t="shared" si="8"/>
        <v>15.541041385843201</v>
      </c>
      <c r="X18" s="447">
        <f>P18*Eingabe!$H$74/100</f>
        <v>7.0948232413632004E-2</v>
      </c>
      <c r="Y18" s="447">
        <f>Q18*Eingabe!$H$73/100</f>
        <v>8.4462181444800014E-2</v>
      </c>
      <c r="Z18" s="115"/>
      <c r="AA18" s="119">
        <f>F18/(1+(Eingabe!H$106/100))^B18</f>
        <v>100.96153846153848</v>
      </c>
      <c r="AB18" s="120">
        <f t="shared" si="9"/>
        <v>21706.730769230773</v>
      </c>
      <c r="AC18" s="118">
        <f t="shared" si="10"/>
        <v>21829.320920494083</v>
      </c>
      <c r="AD18" s="118">
        <f t="shared" si="11"/>
        <v>108426.44849659853</v>
      </c>
      <c r="AE18" s="448">
        <f t="shared" si="12"/>
        <v>0.20132837719183336</v>
      </c>
      <c r="AF18" s="448">
        <f t="shared" si="13"/>
        <v>0.20019774759948666</v>
      </c>
      <c r="AG18" s="115">
        <f t="shared" si="14"/>
        <v>0</v>
      </c>
      <c r="AH18" s="115">
        <f t="shared" si="4"/>
        <v>0</v>
      </c>
      <c r="AI18" s="115">
        <v>7</v>
      </c>
      <c r="AJ18" s="428">
        <f>AF18*(1+(Eingabe!H$106/100))^AI18</f>
        <v>0.26344657819760015</v>
      </c>
      <c r="AK18" s="115"/>
      <c r="AL18" s="115"/>
      <c r="AM18" s="103"/>
      <c r="AN18" s="103"/>
      <c r="AO18" s="103"/>
      <c r="AP18" s="426"/>
    </row>
    <row r="19" spans="1:42" x14ac:dyDescent="0.2">
      <c r="A19" s="3"/>
      <c r="B19" s="252">
        <v>8</v>
      </c>
      <c r="C19" s="253">
        <f t="shared" si="5"/>
        <v>0.15851862213560061</v>
      </c>
      <c r="D19" s="254">
        <f>Eingabe!$H$112*1/(1+(Eingabe!H$98/100))^B18</f>
        <v>15182.781403441002</v>
      </c>
      <c r="E19" s="254">
        <f t="shared" si="6"/>
        <v>2406.753588259488</v>
      </c>
      <c r="F19" s="254">
        <f>(Eingabe!H$89*(Eingabe!H$97/100))*((1+(Eingabe!H$102/100))^B18)+(Eingabe!H96*Eingabe!H37)</f>
        <v>138.17283681976323</v>
      </c>
      <c r="G19" s="254">
        <f>IF(AND(Eingabe!$J$88&lt;=Berechnungen!B19,(Eingabe!$J$88+Eingabe!$J$89)&gt;B19),(Eingabe!$H$92*(1-Eingabe!$H$87))/Eingabe!$J$89,0)</f>
        <v>0</v>
      </c>
      <c r="H19" s="254">
        <f>((Eingabe!$H$92*(1-Eingabe!$H$87))-SUM($G$11:G18))*Eingabe!$I$87</f>
        <v>0</v>
      </c>
      <c r="I19" s="254">
        <f t="shared" si="0"/>
        <v>0</v>
      </c>
      <c r="J19" s="254">
        <f t="shared" si="1"/>
        <v>2268.5807514397247</v>
      </c>
      <c r="K19" s="254">
        <f>J19/(1+(Eingabe!H$106/100))^B19</f>
        <v>1657.6297343330468</v>
      </c>
      <c r="L19" s="254">
        <f t="shared" si="2"/>
        <v>-6460.4262737475783</v>
      </c>
      <c r="M19" s="452">
        <f t="shared" si="7"/>
        <v>9</v>
      </c>
      <c r="N19" s="115">
        <v>9</v>
      </c>
      <c r="O19" s="444">
        <f>IF(Eingabe!$H$63=Eingabe!$C$169,IF(R19&lt;&gt;0,IF(Eingabe!$H$65=Eingabe!$C$200,S19,R19),P19),IF(Eingabe!$H$63=Eingabe!$C$171,T19,IF(Eingabe!$H$63=Eingabe!$C$170,T19,IF(Eingabe!$H$63=Eingabe!$C$172,T19,"Zuordnung!"))))</f>
        <v>0.15851862213560061</v>
      </c>
      <c r="P19" s="444">
        <f>Eingabe!H$104*(1+(Eingabe!H$105/100))^B18</f>
        <v>0.10338171008843518</v>
      </c>
      <c r="Q19" s="444">
        <f>Eingabe!H$103*(1+(Eingabe!H$105/100))^B18</f>
        <v>0.28717141691231995</v>
      </c>
      <c r="R19" s="444">
        <f t="shared" si="3"/>
        <v>0</v>
      </c>
      <c r="S19" s="444">
        <f>IF(Eingabe!$H$65="Volleinspeisung",Berechnungen!R19,(R19*Eingabe!$H$74+Berechnungen!Q19*Eingabe!$H$73)/100)</f>
        <v>8.6151425073695997E-2</v>
      </c>
      <c r="T19" s="444">
        <f>(P19*Eingabe!$H$74+Berechnungen!Q19*Eingabe!$H$73)/100</f>
        <v>0.15851862213560061</v>
      </c>
      <c r="U19" s="138"/>
      <c r="V19" s="445">
        <f>IF(Eingabe!$H$112*Eingabe!$H$73/100&gt;25000,IF((Eingabe!$H$112*Eingabe!$H$73/100-25000)*0.015&lt;=50,0,(Eingabe!$H$112*Eingabe!$H$73/100-25000)*0.015),0)</f>
        <v>0</v>
      </c>
      <c r="W19" s="446">
        <f t="shared" si="8"/>
        <v>15.851862213560061</v>
      </c>
      <c r="X19" s="447">
        <f>P19*Eingabe!$H$74/100</f>
        <v>7.2367197061904628E-2</v>
      </c>
      <c r="Y19" s="447">
        <f>Q19*Eingabe!$H$73/100</f>
        <v>8.6151425073695997E-2</v>
      </c>
      <c r="Z19" s="115"/>
      <c r="AA19" s="119">
        <f>F19/(1+(Eingabe!H$106/100))^B19</f>
        <v>100.96153846153845</v>
      </c>
      <c r="AB19" s="120">
        <f t="shared" si="9"/>
        <v>21807.692307692312</v>
      </c>
      <c r="AC19" s="118">
        <f t="shared" si="10"/>
        <v>21967.493757313845</v>
      </c>
      <c r="AD19" s="118">
        <f t="shared" si="11"/>
        <v>123609.22990003953</v>
      </c>
      <c r="AE19" s="448">
        <f t="shared" si="12"/>
        <v>0.17771726087994033</v>
      </c>
      <c r="AF19" s="448">
        <f t="shared" si="13"/>
        <v>0.17642446543294368</v>
      </c>
      <c r="AG19" s="115">
        <f t="shared" si="14"/>
        <v>0</v>
      </c>
      <c r="AH19" s="115">
        <f t="shared" si="4"/>
        <v>0</v>
      </c>
      <c r="AI19" s="115">
        <v>8</v>
      </c>
      <c r="AJ19" s="428">
        <f>AF19*(1+(Eingabe!H$106/100))^AI19</f>
        <v>0.24144906312582184</v>
      </c>
      <c r="AK19" s="115"/>
      <c r="AL19" s="115"/>
      <c r="AM19" s="103"/>
      <c r="AN19" s="103"/>
      <c r="AO19" s="103"/>
      <c r="AP19" s="426"/>
    </row>
    <row r="20" spans="1:42" x14ac:dyDescent="0.2">
      <c r="A20" s="3"/>
      <c r="B20" s="252">
        <v>9</v>
      </c>
      <c r="C20" s="253">
        <f t="shared" si="5"/>
        <v>0.16168899457831265</v>
      </c>
      <c r="D20" s="254">
        <f>Eingabe!$H$112*1/(1+(Eingabe!H$98/100))^B19</f>
        <v>15107.245177553237</v>
      </c>
      <c r="E20" s="254">
        <f t="shared" si="6"/>
        <v>2442.6752836066453</v>
      </c>
      <c r="F20" s="254">
        <f>(Eingabe!H$89*(Eingabe!H$97/100))*((1+(Eingabe!H$102/100))^B19)+(Eingabe!H96*Eingabe!H37)</f>
        <v>143.69975029255377</v>
      </c>
      <c r="G20" s="254">
        <f>IF(AND(Eingabe!$J$88&lt;=Berechnungen!B20,(Eingabe!$J$88+Eingabe!$J$89)&gt;B20),(Eingabe!$H$92*(1-Eingabe!$H$87))/Eingabe!$J$89,0)</f>
        <v>0</v>
      </c>
      <c r="H20" s="254">
        <f>((Eingabe!$H$92*(1-Eingabe!$H$87))-SUM($G$11:G19))*Eingabe!$I$87</f>
        <v>0</v>
      </c>
      <c r="I20" s="254">
        <f t="shared" si="0"/>
        <v>0</v>
      </c>
      <c r="J20" s="254">
        <f t="shared" si="1"/>
        <v>2298.9755333140915</v>
      </c>
      <c r="K20" s="254">
        <f>J20/(1+(Eingabe!H$106/100))^B20</f>
        <v>1615.2297151267485</v>
      </c>
      <c r="L20" s="254">
        <f t="shared" si="2"/>
        <v>-4845.1965586208298</v>
      </c>
      <c r="M20" s="452">
        <f t="shared" si="7"/>
        <v>10</v>
      </c>
      <c r="N20" s="115">
        <v>10</v>
      </c>
      <c r="O20" s="444">
        <f>IF(Eingabe!$H$63=Eingabe!$C$169,IF(R20&lt;&gt;0,IF(Eingabe!$H$65=Eingabe!$C$200,S20,R20),P20),IF(Eingabe!$H$63=Eingabe!$C$171,T20,IF(Eingabe!$H$63=Eingabe!$C$170,T20,IF(Eingabe!$H$63=Eingabe!$C$172,T20,"Zuordnung!"))))</f>
        <v>0.16168899457831265</v>
      </c>
      <c r="P20" s="444">
        <f>Eingabe!H$104*(1+(Eingabe!H$105/100))^B19</f>
        <v>0.10544934429020389</v>
      </c>
      <c r="Q20" s="444">
        <f>Eingabe!H$103*(1+(Eingabe!H$105/100))^B19</f>
        <v>0.29291484525056638</v>
      </c>
      <c r="R20" s="444">
        <f t="shared" si="3"/>
        <v>0</v>
      </c>
      <c r="S20" s="444">
        <f>IF(Eingabe!$H$65="Volleinspeisung",Berechnungen!R20,(R20*Eingabe!$H$74+Berechnungen!Q20*Eingabe!$H$73)/100)</f>
        <v>8.7874453575169917E-2</v>
      </c>
      <c r="T20" s="444">
        <f>(P20*Eingabe!$H$74+Berechnungen!Q20*Eingabe!$H$73)/100</f>
        <v>0.16168899457831265</v>
      </c>
      <c r="U20" s="138"/>
      <c r="V20" s="445">
        <f>IF(Eingabe!$H$112*Eingabe!$H$73/100&gt;25000,IF((Eingabe!$H$112*Eingabe!$H$73/100-25000)*0.015&lt;=50,0,(Eingabe!$H$112*Eingabe!$H$73/100-25000)*0.015),0)</f>
        <v>0</v>
      </c>
      <c r="W20" s="446">
        <f t="shared" si="8"/>
        <v>16.168899457831266</v>
      </c>
      <c r="X20" s="447">
        <f>P20*Eingabe!$H$74/100</f>
        <v>7.381454100314272E-2</v>
      </c>
      <c r="Y20" s="447">
        <f>Q20*Eingabe!$H$73/100</f>
        <v>8.7874453575169917E-2</v>
      </c>
      <c r="Z20" s="115"/>
      <c r="AA20" s="119">
        <f>F20/(1+(Eingabe!H$106/100))^B20</f>
        <v>100.96153846153845</v>
      </c>
      <c r="AB20" s="120">
        <f t="shared" si="9"/>
        <v>21908.653846153851</v>
      </c>
      <c r="AC20" s="118">
        <f t="shared" si="10"/>
        <v>22111.1935076064</v>
      </c>
      <c r="AD20" s="118">
        <f t="shared" si="11"/>
        <v>138716.47507759277</v>
      </c>
      <c r="AE20" s="448">
        <f t="shared" si="12"/>
        <v>0.15939846723497142</v>
      </c>
      <c r="AF20" s="448">
        <f t="shared" si="13"/>
        <v>0.15793836913675161</v>
      </c>
      <c r="AG20" s="115">
        <f t="shared" si="14"/>
        <v>0.15793836913675161</v>
      </c>
      <c r="AH20" s="115">
        <f t="shared" si="4"/>
        <v>0</v>
      </c>
      <c r="AI20" s="115">
        <v>9</v>
      </c>
      <c r="AJ20" s="428">
        <f>AF20*(1+(Eingabe!H$106/100))^AI20</f>
        <v>0.22479554642692348</v>
      </c>
      <c r="AK20" s="115"/>
      <c r="AL20" s="115"/>
      <c r="AM20" s="103"/>
      <c r="AN20" s="103"/>
      <c r="AO20" s="103"/>
      <c r="AP20" s="426"/>
    </row>
    <row r="21" spans="1:42" x14ac:dyDescent="0.2">
      <c r="A21" s="3"/>
      <c r="B21" s="252">
        <v>10</v>
      </c>
      <c r="C21" s="253">
        <f t="shared" si="5"/>
        <v>0.16492277446987888</v>
      </c>
      <c r="D21" s="254">
        <f>Eingabe!$H$112*1/(1+(Eingabe!H$98/100))^B20</f>
        <v>15032.084753784316</v>
      </c>
      <c r="E21" s="254">
        <f t="shared" si="6"/>
        <v>2479.1331236604756</v>
      </c>
      <c r="F21" s="254">
        <f>(Eingabe!H$89*(Eingabe!H$97/100))*((1+(Eingabe!H$102/100))^B20)+IF(Eingabe!G95="zweimal",Eingabe!H95,0)+(Eingabe!H96*Eingabe!H37)</f>
        <v>149.44774030425594</v>
      </c>
      <c r="G21" s="254">
        <f>IF(AND(Eingabe!$J$88&lt;=Berechnungen!B21,(Eingabe!$J$88+Eingabe!$J$89)&gt;B21),(Eingabe!$H$92*(1-Eingabe!$H$87))/Eingabe!$J$89,0)</f>
        <v>0</v>
      </c>
      <c r="H21" s="254">
        <f>((Eingabe!$H$92*(1-Eingabe!$H$87))-SUM($G$11:G20))*Eingabe!$I$87</f>
        <v>0</v>
      </c>
      <c r="I21" s="254">
        <f t="shared" si="0"/>
        <v>0</v>
      </c>
      <c r="J21" s="254">
        <f t="shared" si="1"/>
        <v>2329.6853833562195</v>
      </c>
      <c r="K21" s="254">
        <f>J21/(1+(Eingabe!H$106/100))^B21</f>
        <v>1573.8519696326564</v>
      </c>
      <c r="L21" s="254">
        <f t="shared" si="2"/>
        <v>-3271.3445889881732</v>
      </c>
      <c r="M21" s="452">
        <f t="shared" si="7"/>
        <v>11</v>
      </c>
      <c r="N21" s="115">
        <v>11</v>
      </c>
      <c r="O21" s="444">
        <f>IF(Eingabe!$H$63=Eingabe!$C$169,IF(R21&lt;&gt;0,IF(Eingabe!$H$65=Eingabe!$C$200,S21,R21),P21),IF(Eingabe!$H$63=Eingabe!$C$171,T21,IF(Eingabe!$H$63=Eingabe!$C$170,T21,IF(Eingabe!$H$63=Eingabe!$C$172,T21,"Zuordnung!"))))</f>
        <v>0.16492277446987888</v>
      </c>
      <c r="P21" s="444">
        <f>Eingabe!H$104*(1+(Eingabe!H$105/100))^B20</f>
        <v>0.10755833117600797</v>
      </c>
      <c r="Q21" s="444">
        <f>Eingabe!H$103*(1+(Eingabe!H$105/100))^B20</f>
        <v>0.29877314215557771</v>
      </c>
      <c r="R21" s="444">
        <f t="shared" si="3"/>
        <v>0</v>
      </c>
      <c r="S21" s="444">
        <f>IF(Eingabe!$H$65="Volleinspeisung",Berechnungen!R21,(R21*Eingabe!$H$74+Berechnungen!Q21*Eingabe!$H$73)/100)</f>
        <v>8.9631942646673318E-2</v>
      </c>
      <c r="T21" s="444">
        <f>(P21*Eingabe!$H$74+Berechnungen!Q21*Eingabe!$H$73)/100</f>
        <v>0.16492277446987888</v>
      </c>
      <c r="U21" s="138"/>
      <c r="V21" s="445">
        <f>IF(Eingabe!$H$112*Eingabe!$H$73/100&gt;25000,IF((Eingabe!$H$112*Eingabe!$H$73/100-25000)*0.015&lt;=50,0,(Eingabe!$H$112*Eingabe!$H$73/100-25000)*0.015),0)</f>
        <v>0</v>
      </c>
      <c r="W21" s="446">
        <f t="shared" si="8"/>
        <v>16.492277446987888</v>
      </c>
      <c r="X21" s="447">
        <f>P21*Eingabe!$H$74/100</f>
        <v>7.5290831823205576E-2</v>
      </c>
      <c r="Y21" s="447">
        <f>Q21*Eingabe!$H$73/100</f>
        <v>8.9631942646673318E-2</v>
      </c>
      <c r="Z21" s="115"/>
      <c r="AA21" s="119">
        <f>F21/(1+(Eingabe!H$106/100))^B21</f>
        <v>100.96153846153847</v>
      </c>
      <c r="AB21" s="120">
        <f t="shared" si="9"/>
        <v>22009.61538461539</v>
      </c>
      <c r="AC21" s="118">
        <f t="shared" si="10"/>
        <v>22260.641247910655</v>
      </c>
      <c r="AD21" s="118">
        <f t="shared" si="11"/>
        <v>153748.55983137709</v>
      </c>
      <c r="AE21" s="448">
        <f t="shared" si="12"/>
        <v>0.14478601472641367</v>
      </c>
      <c r="AF21" s="448">
        <f t="shared" si="13"/>
        <v>0.14315331089120001</v>
      </c>
      <c r="AG21" s="115">
        <f t="shared" si="14"/>
        <v>0.14315331089120001</v>
      </c>
      <c r="AH21" s="115">
        <f t="shared" si="4"/>
        <v>0</v>
      </c>
      <c r="AI21" s="115">
        <v>10</v>
      </c>
      <c r="AJ21" s="428">
        <f>AF21*(1+(Eingabe!H$106/100))^AI21</f>
        <v>0.21190187031383784</v>
      </c>
      <c r="AK21" s="115"/>
      <c r="AL21" s="115"/>
      <c r="AM21" s="103"/>
      <c r="AN21" s="103"/>
      <c r="AO21" s="103"/>
      <c r="AP21" s="426"/>
    </row>
    <row r="22" spans="1:42" x14ac:dyDescent="0.2">
      <c r="A22" s="3"/>
      <c r="B22" s="252">
        <v>11</v>
      </c>
      <c r="C22" s="253">
        <f t="shared" si="5"/>
        <v>0.16822122995927649</v>
      </c>
      <c r="D22" s="254">
        <f>Eingabe!$H$112*1/(1+(Eingabe!H$98/100))^B21</f>
        <v>14957.298262471961</v>
      </c>
      <c r="E22" s="254">
        <f t="shared" si="6"/>
        <v>2516.1351105807826</v>
      </c>
      <c r="F22" s="254">
        <f>(Eingabe!H$89*(Eingabe!H$97/100))*((1+(Eingabe!H$102/100))^B21)+(Eingabe!H96*Eingabe!H37)</f>
        <v>155.42564991642618</v>
      </c>
      <c r="G22" s="254">
        <f>IF(AND(Eingabe!$J$88&lt;=Berechnungen!B22,(Eingabe!$J$88+Eingabe!$J$89)&gt;B22),(Eingabe!$H$92*(1-Eingabe!$H$87))/Eingabe!$J$89,0)</f>
        <v>0</v>
      </c>
      <c r="H22" s="254">
        <f>((Eingabe!$H$92*(1-Eingabe!$H$87))-SUM($G$11:G21))*Eingabe!$I$87</f>
        <v>0</v>
      </c>
      <c r="I22" s="254">
        <f t="shared" si="0"/>
        <v>0</v>
      </c>
      <c r="J22" s="254">
        <f t="shared" si="1"/>
        <v>2360.7094606643564</v>
      </c>
      <c r="K22" s="254">
        <f>J22/(1+(Eingabe!H$106/100))^B22</f>
        <v>1533.4718506085724</v>
      </c>
      <c r="L22" s="254">
        <f t="shared" si="2"/>
        <v>-1737.8727383796008</v>
      </c>
      <c r="M22" s="452">
        <f t="shared" si="7"/>
        <v>12</v>
      </c>
      <c r="N22" s="115">
        <v>12</v>
      </c>
      <c r="O22" s="444">
        <f>IF(Eingabe!$H$63=Eingabe!$C$169,IF(R22&lt;&gt;0,IF(Eingabe!$H$65=Eingabe!$C$200,S22,R22),P22),IF(Eingabe!$H$63=Eingabe!$C$171,T22,IF(Eingabe!$H$63=Eingabe!$C$170,T22,IF(Eingabe!$H$63=Eingabe!$C$172,T22,"Zuordnung!"))))</f>
        <v>0.16822122995927649</v>
      </c>
      <c r="P22" s="444">
        <f>Eingabe!H$104*(1+(Eingabe!H$105/100))^B21</f>
        <v>0.10970949779952814</v>
      </c>
      <c r="Q22" s="444">
        <f>Eingabe!H$103*(1+(Eingabe!H$105/100))^B21</f>
        <v>0.30474860499868928</v>
      </c>
      <c r="R22" s="444">
        <f t="shared" si="3"/>
        <v>0</v>
      </c>
      <c r="S22" s="444">
        <f>IF(Eingabe!$H$65="Volleinspeisung",Berechnungen!R22,(R22*Eingabe!$H$74+Berechnungen!Q22*Eingabe!$H$73)/100)</f>
        <v>9.1424581499606777E-2</v>
      </c>
      <c r="T22" s="444">
        <f>(P22*Eingabe!$H$74+Berechnungen!Q22*Eingabe!$H$73)/100</f>
        <v>0.16822122995927649</v>
      </c>
      <c r="U22" s="138"/>
      <c r="V22" s="445">
        <f>IF(Eingabe!$H$112*Eingabe!$H$73/100&gt;25000,IF((Eingabe!$H$112*Eingabe!$H$73/100-25000)*0.015&lt;=50,0,(Eingabe!$H$112*Eingabe!$H$73/100-25000)*0.015),0)</f>
        <v>0</v>
      </c>
      <c r="W22" s="446">
        <f t="shared" si="8"/>
        <v>16.82212299592765</v>
      </c>
      <c r="X22" s="447">
        <f>P22*Eingabe!$H$74/100</f>
        <v>7.67966484596697E-2</v>
      </c>
      <c r="Y22" s="447">
        <f>Q22*Eingabe!$H$73/100</f>
        <v>9.1424581499606777E-2</v>
      </c>
      <c r="Z22" s="115"/>
      <c r="AA22" s="119">
        <f>F22/(1+(Eingabe!H$106/100))^B22</f>
        <v>100.96153846153847</v>
      </c>
      <c r="AB22" s="120">
        <f t="shared" si="9"/>
        <v>22110.576923076929</v>
      </c>
      <c r="AC22" s="118">
        <f t="shared" si="10"/>
        <v>22416.066897827081</v>
      </c>
      <c r="AD22" s="118">
        <f t="shared" si="11"/>
        <v>168705.85809384906</v>
      </c>
      <c r="AE22" s="448">
        <f t="shared" si="12"/>
        <v>0.1328707085284335</v>
      </c>
      <c r="AF22" s="448">
        <f t="shared" si="13"/>
        <v>0.13105992389889079</v>
      </c>
      <c r="AG22" s="115">
        <f t="shared" si="14"/>
        <v>0.13105992389889079</v>
      </c>
      <c r="AH22" s="115">
        <f t="shared" si="4"/>
        <v>0</v>
      </c>
      <c r="AI22" s="115">
        <v>11</v>
      </c>
      <c r="AJ22" s="428">
        <f>AF22*(1+(Eingabe!H$106/100))^AI22</f>
        <v>0.2017607314664929</v>
      </c>
      <c r="AK22" s="115"/>
      <c r="AL22" s="115"/>
      <c r="AM22" s="103"/>
      <c r="AN22" s="103"/>
      <c r="AO22" s="103"/>
      <c r="AP22" s="426"/>
    </row>
    <row r="23" spans="1:42" x14ac:dyDescent="0.2">
      <c r="A23" s="3"/>
      <c r="B23" s="252">
        <v>12</v>
      </c>
      <c r="C23" s="253">
        <f t="shared" si="5"/>
        <v>0.17158565455846198</v>
      </c>
      <c r="D23" s="254">
        <f>Eingabe!$H$112*1/(1+(Eingabe!H$98/100))^B22</f>
        <v>14882.883843255682</v>
      </c>
      <c r="E23" s="254">
        <f t="shared" si="6"/>
        <v>2553.6893659625844</v>
      </c>
      <c r="F23" s="254">
        <f>(Eingabe!H$89*(Eingabe!H$97/100))*((1+(Eingabe!H$102/100))^B22)+IF(Eingabe!G95="viermal",Eingabe!H95,0)+(Eingabe!H96*Eingabe!H37)</f>
        <v>161.64267591308322</v>
      </c>
      <c r="G23" s="254">
        <f>IF(AND(Eingabe!$J$88&lt;=Berechnungen!B23,(Eingabe!$J$88+Eingabe!$J$89)&gt;B23),(Eingabe!$H$92*(1-Eingabe!$H$87))/Eingabe!$J$89,0)</f>
        <v>0</v>
      </c>
      <c r="H23" s="254">
        <f>((Eingabe!$H$92*(1-Eingabe!$H$87))-SUM($G$11:G22))*Eingabe!$I$87</f>
        <v>0</v>
      </c>
      <c r="I23" s="254">
        <f t="shared" ref="I23:I36" si="15">G23+H23</f>
        <v>0</v>
      </c>
      <c r="J23" s="254">
        <f t="shared" si="1"/>
        <v>2392.0466900495012</v>
      </c>
      <c r="K23" s="254">
        <f>J23/(1+(Eingabe!H$106/100))^B23</f>
        <v>1494.065305062679</v>
      </c>
      <c r="L23" s="254">
        <f t="shared" si="2"/>
        <v>-243.80743331692179</v>
      </c>
      <c r="M23" s="452">
        <f t="shared" si="7"/>
        <v>13</v>
      </c>
      <c r="N23" s="115">
        <v>13</v>
      </c>
      <c r="O23" s="444">
        <f>IF(Eingabe!$H$63=Eingabe!$C$169,IF(R23&lt;&gt;0,IF(Eingabe!$H$65=Eingabe!$C$200,S23,R23),P23),IF(Eingabe!$H$63=Eingabe!$C$171,T23,IF(Eingabe!$H$63=Eingabe!$C$170,T23,IF(Eingabe!$H$63=Eingabe!$C$172,T23,"Zuordnung!"))))</f>
        <v>0.17158565455846198</v>
      </c>
      <c r="P23" s="444">
        <f>Eingabe!H$104*(1+(Eingabe!H$105/100))^B22</f>
        <v>0.11190368775551868</v>
      </c>
      <c r="Q23" s="444">
        <f>Eingabe!H$103*(1+(Eingabe!H$105/100))^B22</f>
        <v>0.310843577098663</v>
      </c>
      <c r="R23" s="444">
        <f t="shared" si="3"/>
        <v>0</v>
      </c>
      <c r="S23" s="444">
        <f>IF(Eingabe!$H$65="Volleinspeisung",Berechnungen!R23,(R23*Eingabe!$H$74+Berechnungen!Q23*Eingabe!$H$73)/100)</f>
        <v>9.3253073129598893E-2</v>
      </c>
      <c r="T23" s="444">
        <f>(P23*Eingabe!$H$74+Berechnungen!Q23*Eingabe!$H$73)/100</f>
        <v>0.17158565455846198</v>
      </c>
      <c r="U23" s="138"/>
      <c r="V23" s="445">
        <f>IF(Eingabe!$H$112*Eingabe!$H$73/100&gt;25000,IF((Eingabe!$H$112*Eingabe!$H$73/100-25000)*0.015&lt;=50,0,(Eingabe!$H$112*Eingabe!$H$73/100-25000)*0.015),0)</f>
        <v>0</v>
      </c>
      <c r="W23" s="446">
        <f t="shared" si="8"/>
        <v>17.158565455846198</v>
      </c>
      <c r="X23" s="447">
        <f>P23*Eingabe!$H$74/100</f>
        <v>7.8332581428863068E-2</v>
      </c>
      <c r="Y23" s="447">
        <f>Q23*Eingabe!$H$73/100</f>
        <v>9.3253073129598893E-2</v>
      </c>
      <c r="Z23" s="115"/>
      <c r="AA23" s="119">
        <f>F23/(1+(Eingabe!H$106/100))^B23</f>
        <v>100.96153846153844</v>
      </c>
      <c r="AB23" s="120">
        <f t="shared" si="9"/>
        <v>22211.538461538468</v>
      </c>
      <c r="AC23" s="118">
        <f t="shared" si="10"/>
        <v>22577.709573740165</v>
      </c>
      <c r="AD23" s="118">
        <f t="shared" si="11"/>
        <v>183588.74193710476</v>
      </c>
      <c r="AE23" s="448">
        <f t="shared" si="12"/>
        <v>0.1229798152954009</v>
      </c>
      <c r="AF23" s="448">
        <f t="shared" si="13"/>
        <v>0.12098529695872021</v>
      </c>
      <c r="AG23" s="115">
        <f t="shared" si="14"/>
        <v>0.12098529695872021</v>
      </c>
      <c r="AH23" s="115">
        <f t="shared" si="4"/>
        <v>0</v>
      </c>
      <c r="AI23" s="115">
        <v>12</v>
      </c>
      <c r="AJ23" s="428">
        <f>AF23*(1+(Eingabe!H$106/100))^AI23</f>
        <v>0.19370135840388961</v>
      </c>
      <c r="AK23" s="115"/>
      <c r="AL23" s="115"/>
      <c r="AM23" s="103"/>
      <c r="AN23" s="103"/>
      <c r="AO23" s="103"/>
      <c r="AP23" s="426"/>
    </row>
    <row r="24" spans="1:42" x14ac:dyDescent="0.2">
      <c r="A24" s="3"/>
      <c r="B24" s="252">
        <v>13</v>
      </c>
      <c r="C24" s="253">
        <f t="shared" si="5"/>
        <v>0.17501736764963127</v>
      </c>
      <c r="D24" s="254">
        <f>Eingabe!$H$112*1/(1+(Eingabe!H$98/100))^B23</f>
        <v>14808.839645030535</v>
      </c>
      <c r="E24" s="254">
        <f t="shared" si="6"/>
        <v>2591.8041326187445</v>
      </c>
      <c r="F24" s="254">
        <f>(Eingabe!H$89*(Eingabe!H$97/100))*((1+(Eingabe!H$102/100))^B23)+IF(Eingabe!G95="einmal",Eingabe!H95,0)+(Eingabe!H96*Eingabe!H37)</f>
        <v>3668.1083829496065</v>
      </c>
      <c r="G24" s="254">
        <f>IF(AND(Eingabe!$J$88&lt;=Berechnungen!B24,(Eingabe!$J$88+Eingabe!$J$89)&gt;B24),(Eingabe!$H$92*(1-Eingabe!$H$87))/Eingabe!$J$89,0)</f>
        <v>0</v>
      </c>
      <c r="H24" s="254">
        <f>((Eingabe!$H$92*(1-Eingabe!$H$87))-SUM($G$11:G23))*Eingabe!$I$87</f>
        <v>0</v>
      </c>
      <c r="I24" s="254">
        <f t="shared" si="15"/>
        <v>0</v>
      </c>
      <c r="J24" s="254">
        <f t="shared" si="1"/>
        <v>-1076.304250330862</v>
      </c>
      <c r="K24" s="254">
        <f>J24/(1+(Eingabe!H$106/100))^B24</f>
        <v>-646.40044154532723</v>
      </c>
      <c r="L24" s="254">
        <f t="shared" si="2"/>
        <v>-890.20787486224901</v>
      </c>
      <c r="M24" s="452">
        <f t="shared" si="7"/>
        <v>14</v>
      </c>
      <c r="N24" s="115">
        <v>14</v>
      </c>
      <c r="O24" s="444">
        <f>IF(Eingabe!$H$63=Eingabe!$C$169,IF(R24&lt;&gt;0,IF(Eingabe!$H$65=Eingabe!$C$200,S24,R24),P24),IF(Eingabe!$H$63=Eingabe!$C$171,T24,IF(Eingabe!$H$63=Eingabe!$C$170,T24,IF(Eingabe!$H$63=Eingabe!$C$172,T24,"Zuordnung!"))))</f>
        <v>0.17501736764963127</v>
      </c>
      <c r="P24" s="444">
        <f>Eingabe!H$104*(1+(Eingabe!H$105/100))^B23</f>
        <v>0.11414176151062908</v>
      </c>
      <c r="Q24" s="444">
        <f>Eingabe!H$103*(1+(Eingabe!H$105/100))^B23</f>
        <v>0.31706044864063632</v>
      </c>
      <c r="R24" s="444">
        <f t="shared" si="3"/>
        <v>0</v>
      </c>
      <c r="S24" s="444">
        <f>IF(Eingabe!$H$65="Volleinspeisung",Berechnungen!R24,(R24*Eingabe!$H$74+Berechnungen!Q24*Eingabe!$H$73)/100)</f>
        <v>9.5118134592190901E-2</v>
      </c>
      <c r="T24" s="444">
        <f>(P24*Eingabe!$H$74+Berechnungen!Q24*Eingabe!$H$73)/100</f>
        <v>0.17501736764963127</v>
      </c>
      <c r="U24" s="138"/>
      <c r="V24" s="445">
        <f>IF(Eingabe!$H$112*Eingabe!$H$73/100&gt;25000,IF((Eingabe!$H$112*Eingabe!$H$73/100-25000)*0.015&lt;=50,0,(Eingabe!$H$112*Eingabe!$H$73/100-25000)*0.015),0)</f>
        <v>0</v>
      </c>
      <c r="W24" s="446">
        <f t="shared" si="8"/>
        <v>17.501736764963127</v>
      </c>
      <c r="X24" s="447">
        <f>P24*Eingabe!$H$74/100</f>
        <v>7.9899233057440358E-2</v>
      </c>
      <c r="Y24" s="447">
        <f>Q24*Eingabe!$H$73/100</f>
        <v>9.5118134592190901E-2</v>
      </c>
      <c r="Z24" s="115"/>
      <c r="AA24" s="119">
        <f>F24/(1+(Eingabe!H$106/100))^B24</f>
        <v>2202.9708399329115</v>
      </c>
      <c r="AB24" s="120">
        <f t="shared" si="9"/>
        <v>24414.509301471378</v>
      </c>
      <c r="AC24" s="118">
        <f t="shared" si="10"/>
        <v>26245.817956689771</v>
      </c>
      <c r="AD24" s="118">
        <f t="shared" si="11"/>
        <v>198397.58158213529</v>
      </c>
      <c r="AE24" s="448">
        <f t="shared" si="12"/>
        <v>0.13228900144543432</v>
      </c>
      <c r="AF24" s="448">
        <f t="shared" si="13"/>
        <v>0.12305850256225997</v>
      </c>
      <c r="AG24" s="115">
        <f t="shared" si="14"/>
        <v>0.12305850256225997</v>
      </c>
      <c r="AH24" s="115">
        <f t="shared" si="4"/>
        <v>0</v>
      </c>
      <c r="AI24" s="115">
        <v>13</v>
      </c>
      <c r="AJ24" s="428">
        <f>AF24*(1+(Eingabe!H$106/100))^AI24</f>
        <v>0.20490145246570671</v>
      </c>
      <c r="AK24" s="115"/>
      <c r="AL24" s="115"/>
      <c r="AM24" s="103"/>
      <c r="AN24" s="103"/>
      <c r="AO24" s="103"/>
      <c r="AP24" s="426"/>
    </row>
    <row r="25" spans="1:42" x14ac:dyDescent="0.2">
      <c r="A25" s="3"/>
      <c r="B25" s="252">
        <v>14</v>
      </c>
      <c r="C25" s="253">
        <f t="shared" si="5"/>
        <v>0.17851771500262387</v>
      </c>
      <c r="D25" s="254">
        <f>Eingabe!$H$112*1/(1+(Eingabe!H$98/100))^B24</f>
        <v>14735.163825901031</v>
      </c>
      <c r="E25" s="254">
        <f t="shared" si="6"/>
        <v>2630.4877763891727</v>
      </c>
      <c r="F25" s="254">
        <f>(Eingabe!H$89*(Eingabe!H$97/100))*((1+(Eingabe!H$102/100))^B24)+IF(Eingabe!G95="dreimal",Eingabe!H95,0)+(Eingabe!H96*Eingabe!H37)</f>
        <v>174.83271826759085</v>
      </c>
      <c r="G25" s="254">
        <f>IF(AND(Eingabe!$J$88&lt;=Berechnungen!B25,(Eingabe!$J$88+Eingabe!$J$89)&gt;B25),(Eingabe!$H$92*(1-Eingabe!$H$87))/Eingabe!$J$89,0)</f>
        <v>0</v>
      </c>
      <c r="H25" s="254">
        <f>((Eingabe!$H$92*(1-Eingabe!$H$87))-SUM($G$11:G24))*Eingabe!$I$87</f>
        <v>0</v>
      </c>
      <c r="I25" s="254">
        <f t="shared" si="15"/>
        <v>0</v>
      </c>
      <c r="J25" s="254">
        <f t="shared" si="1"/>
        <v>2455.655058121582</v>
      </c>
      <c r="K25" s="254">
        <f>J25/(1+(Eingabe!H$106/100))^B25</f>
        <v>1418.0796080705468</v>
      </c>
      <c r="L25" s="254">
        <f t="shared" si="2"/>
        <v>527.87173320829777</v>
      </c>
      <c r="M25" s="452">
        <f t="shared" si="7"/>
        <v>0</v>
      </c>
      <c r="N25" s="115">
        <v>15</v>
      </c>
      <c r="O25" s="444">
        <f>IF(Eingabe!$H$63=Eingabe!$C$169,IF(R25&lt;&gt;0,IF(Eingabe!$H$65=Eingabe!$C$200,S25,R25),P25),IF(Eingabe!$H$63=Eingabe!$C$171,T25,IF(Eingabe!$H$63=Eingabe!$C$170,T25,IF(Eingabe!$H$63=Eingabe!$C$172,T25,"Zuordnung!"))))</f>
        <v>0.17851771500262387</v>
      </c>
      <c r="P25" s="444">
        <f>Eingabe!H$104*(1+(Eingabe!H$105/100))^B24</f>
        <v>0.11642459674084164</v>
      </c>
      <c r="Q25" s="444">
        <f>Eingabe!H$103*(1+(Eingabe!H$105/100))^B24</f>
        <v>0.32340165761344902</v>
      </c>
      <c r="R25" s="444">
        <f>IF(Eingabe!$H$66="Überschusseinspeisung",S25,P25)</f>
        <v>0.17851771500262387</v>
      </c>
      <c r="S25" s="444">
        <f>IF(Eingabe!$H$66="Überschusseinspeisung",T25,P25)</f>
        <v>0.17851771500262387</v>
      </c>
      <c r="T25" s="444">
        <f>(P25*Eingabe!$H$74+Berechnungen!Q25*Eingabe!$H$73)/100</f>
        <v>0.17851771500262387</v>
      </c>
      <c r="U25" s="138"/>
      <c r="V25" s="445">
        <f>IF(Eingabe!$H$112*Eingabe!$H$73/100&gt;25000,IF((Eingabe!$H$112*Eingabe!$H$73/100-25000)*0.015&lt;=50,0,(Eingabe!$H$112*Eingabe!$H$73/100-25000)*0.015),0)</f>
        <v>0</v>
      </c>
      <c r="W25" s="446">
        <f t="shared" si="8"/>
        <v>17.851771500262387</v>
      </c>
      <c r="X25" s="447">
        <f>P25*Eingabe!$H$74/100</f>
        <v>8.1497217718589157E-2</v>
      </c>
      <c r="Y25" s="447">
        <f>Q25*Eingabe!$H$73/100</f>
        <v>9.702049728403471E-2</v>
      </c>
      <c r="Z25" s="115"/>
      <c r="AA25" s="119">
        <f>F25/(1+(Eingabe!H$106/100))^B25</f>
        <v>100.96153846153847</v>
      </c>
      <c r="AB25" s="120">
        <f t="shared" si="9"/>
        <v>24515.470839932917</v>
      </c>
      <c r="AC25" s="118">
        <f t="shared" si="10"/>
        <v>26420.65067495736</v>
      </c>
      <c r="AD25" s="118">
        <f t="shared" si="11"/>
        <v>213132.74540803631</v>
      </c>
      <c r="AE25" s="448">
        <f t="shared" si="12"/>
        <v>0.12396335731694259</v>
      </c>
      <c r="AF25" s="448">
        <f t="shared" si="13"/>
        <v>0.11502442195355189</v>
      </c>
      <c r="AG25" s="115">
        <f t="shared" si="14"/>
        <v>0.11502442195355189</v>
      </c>
      <c r="AH25" s="115">
        <f t="shared" si="4"/>
        <v>0</v>
      </c>
      <c r="AI25" s="115">
        <v>14</v>
      </c>
      <c r="AJ25" s="428">
        <f>AF25*(1+(Eingabe!H$106/100))^AI25</f>
        <v>0.19918508239609278</v>
      </c>
      <c r="AK25" s="115"/>
      <c r="AL25" s="115"/>
      <c r="AM25" s="103"/>
      <c r="AN25" s="103"/>
      <c r="AO25" s="103"/>
      <c r="AP25" s="426"/>
    </row>
    <row r="26" spans="1:42" x14ac:dyDescent="0.2">
      <c r="A26" s="3"/>
      <c r="B26" s="252">
        <v>15</v>
      </c>
      <c r="C26" s="253">
        <f t="shared" si="5"/>
        <v>0.18208806930267635</v>
      </c>
      <c r="D26" s="254">
        <f>Eingabe!$H$112*1/(1+(Eingabe!H$98/100))^B25</f>
        <v>14661.854553135357</v>
      </c>
      <c r="E26" s="254">
        <f t="shared" si="6"/>
        <v>2669.7487879770715</v>
      </c>
      <c r="F26" s="254">
        <f>(Eingabe!H$89*(Eingabe!H$97/100))*((1+(Eingabe!H$102/100))^B25)+(Eingabe!H96*Eingabe!H37)</f>
        <v>181.82602699829448</v>
      </c>
      <c r="G26" s="254">
        <f>IF(AND(Eingabe!$J$88&lt;=Berechnungen!B26,(Eingabe!$J$88+Eingabe!$J$89)&gt;B26),(Eingabe!$H$92*(1-Eingabe!$H$87))/Eingabe!$J$89,0)</f>
        <v>0</v>
      </c>
      <c r="H26" s="254">
        <f>((Eingabe!$H$92*(1-Eingabe!$H$87))-SUM($G$11:G25))*Eingabe!$I$87</f>
        <v>0</v>
      </c>
      <c r="I26" s="254">
        <f t="shared" si="15"/>
        <v>0</v>
      </c>
      <c r="J26" s="254">
        <f t="shared" si="1"/>
        <v>2487.9227609787772</v>
      </c>
      <c r="K26" s="254">
        <f>J26/(1+(Eingabe!H$106/100))^B26</f>
        <v>1381.4551946639183</v>
      </c>
      <c r="L26" s="254">
        <f t="shared" si="2"/>
        <v>1909.3269278722159</v>
      </c>
      <c r="M26" s="452">
        <f t="shared" si="7"/>
        <v>0</v>
      </c>
      <c r="N26" s="115">
        <v>16</v>
      </c>
      <c r="O26" s="444">
        <f>IF(Eingabe!$H$63=Eingabe!$C$169,IF(R26&lt;&gt;0,IF(Eingabe!$H$65=Eingabe!$C$200,S26,R26),P26),IF(Eingabe!$H$63=Eingabe!$C$171,T26,IF(Eingabe!$H$63=Eingabe!$C$170,T26,IF(Eingabe!$H$63=Eingabe!$C$172,T26,"Zuordnung!"))))</f>
        <v>0.18208806930267635</v>
      </c>
      <c r="P26" s="444">
        <f>Eingabe!H$104*(1+(Eingabe!H$105/100))^B25</f>
        <v>0.11875308867565849</v>
      </c>
      <c r="Q26" s="444">
        <f>Eingabe!H$103*(1+(Eingabe!H$105/100))^B25</f>
        <v>0.32986969076571804</v>
      </c>
      <c r="R26" s="444">
        <f>IF(Eingabe!$H$66="Überschusseinspeisung",S26,P26)</f>
        <v>0.18208806930267635</v>
      </c>
      <c r="S26" s="444">
        <f>IF(Eingabe!$H$66="Überschusseinspeisung",T26,P26)</f>
        <v>0.18208806930267635</v>
      </c>
      <c r="T26" s="444">
        <f>(P26*Eingabe!$H$74+Berechnungen!Q26*Eingabe!$H$73)/100</f>
        <v>0.18208806930267635</v>
      </c>
      <c r="U26" s="138"/>
      <c r="V26" s="445">
        <f>IF(Eingabe!$H$112*Eingabe!$H$73/100&gt;25000,IF((Eingabe!$H$112*Eingabe!$H$73/100-25000)*0.015&lt;=50,0,(Eingabe!$H$112*Eingabe!$H$73/100-25000)*0.015),0)</f>
        <v>0</v>
      </c>
      <c r="W26" s="446">
        <f t="shared" si="8"/>
        <v>18.208806930267635</v>
      </c>
      <c r="X26" s="447">
        <f>P26*Eingabe!$H$74/100</f>
        <v>8.3127162072960947E-2</v>
      </c>
      <c r="Y26" s="447">
        <f>Q26*Eingabe!$H$73/100</f>
        <v>9.8960907229715414E-2</v>
      </c>
      <c r="Z26" s="115"/>
      <c r="AA26" s="119">
        <f>F26/(1+(Eingabe!H$106/100))^B26</f>
        <v>100.96153846153847</v>
      </c>
      <c r="AB26" s="120">
        <f t="shared" si="9"/>
        <v>24616.432378394456</v>
      </c>
      <c r="AC26" s="118">
        <f t="shared" si="10"/>
        <v>26602.476701955653</v>
      </c>
      <c r="AD26" s="118">
        <f t="shared" si="11"/>
        <v>227794.59996117165</v>
      </c>
      <c r="AE26" s="448">
        <f t="shared" si="12"/>
        <v>0.11678273631811348</v>
      </c>
      <c r="AF26" s="448">
        <f t="shared" si="13"/>
        <v>0.10806416123380629</v>
      </c>
      <c r="AG26" s="115">
        <f t="shared" si="14"/>
        <v>0.10806416123380629</v>
      </c>
      <c r="AH26" s="115">
        <f t="shared" si="4"/>
        <v>0</v>
      </c>
      <c r="AI26" s="115">
        <v>15</v>
      </c>
      <c r="AJ26" s="428">
        <f>AF26*(1+(Eingabe!H$106/100))^AI26</f>
        <v>0.19461744935207576</v>
      </c>
      <c r="AK26" s="115"/>
      <c r="AL26" s="115"/>
      <c r="AM26" s="103"/>
      <c r="AN26" s="103"/>
      <c r="AO26" s="103"/>
      <c r="AP26" s="426"/>
    </row>
    <row r="27" spans="1:42" x14ac:dyDescent="0.2">
      <c r="A27" s="3"/>
      <c r="B27" s="252">
        <v>16</v>
      </c>
      <c r="C27" s="253">
        <f t="shared" si="5"/>
        <v>0.18572983068872984</v>
      </c>
      <c r="D27" s="254">
        <f>Eingabe!$H$112*1/(1+(Eingabe!H$98/100))^B26</f>
        <v>14588.910003119761</v>
      </c>
      <c r="E27" s="254">
        <f t="shared" si="6"/>
        <v>2709.5957848125504</v>
      </c>
      <c r="F27" s="254">
        <f>(Eingabe!H$89*(Eingabe!H$97/100))*((1+(Eingabe!H$102/100))^B26)+(Eingabe!H96*Eingabe!H37)</f>
        <v>189.09906807822625</v>
      </c>
      <c r="G27" s="254">
        <f>IF(AND(Eingabe!$J$88&lt;=Berechnungen!B27,(Eingabe!$J$88+Eingabe!$J$89)&gt;B27),(Eingabe!$H$92*(1-Eingabe!$H$87))/Eingabe!$J$89,0)</f>
        <v>0</v>
      </c>
      <c r="H27" s="254">
        <f>((Eingabe!$H$92*(1-Eingabe!$H$87))-SUM($G$11:G26))*Eingabe!$I$87</f>
        <v>0</v>
      </c>
      <c r="I27" s="254">
        <f t="shared" si="15"/>
        <v>0</v>
      </c>
      <c r="J27" s="254">
        <f t="shared" si="1"/>
        <v>2520.4967167343243</v>
      </c>
      <c r="K27" s="254">
        <f>J27/(1+(Eingabe!H$106/100))^B27</f>
        <v>1345.7138038537753</v>
      </c>
      <c r="L27" s="254">
        <f t="shared" si="2"/>
        <v>3255.0407317259915</v>
      </c>
      <c r="M27" s="452">
        <f t="shared" si="7"/>
        <v>0</v>
      </c>
      <c r="N27" s="115">
        <v>17</v>
      </c>
      <c r="O27" s="444">
        <f>IF(Eingabe!$H$63=Eingabe!$C$169,IF(R27&lt;&gt;0,IF(Eingabe!$H$65=Eingabe!$C$200,S27,R27),P27),IF(Eingabe!$H$63=Eingabe!$C$171,T27,IF(Eingabe!$H$63=Eingabe!$C$170,T27,IF(Eingabe!$H$63=Eingabe!$C$172,T27,"Zuordnung!"))))</f>
        <v>0.18572983068872984</v>
      </c>
      <c r="P27" s="444">
        <f>Eingabe!H$104*(1+(Eingabe!H$105/100))^B26</f>
        <v>0.12112815044917162</v>
      </c>
      <c r="Q27" s="444">
        <f>Eingabe!H$103*(1+(Eingabe!H$105/100))^B26</f>
        <v>0.33646708458103231</v>
      </c>
      <c r="R27" s="444">
        <f>IF(Eingabe!$H$66="Überschusseinspeisung",S27,P27)</f>
        <v>0.18572983068872984</v>
      </c>
      <c r="S27" s="444">
        <f>IF(Eingabe!$H$66="Überschusseinspeisung",T27,P27)</f>
        <v>0.18572983068872984</v>
      </c>
      <c r="T27" s="444">
        <f>(P27*Eingabe!$H$74+Berechnungen!Q27*Eingabe!$H$73)/100</f>
        <v>0.18572983068872984</v>
      </c>
      <c r="U27" s="138"/>
      <c r="V27" s="445">
        <f>IF(Eingabe!$H$112*Eingabe!$H$73/100&gt;25000,IF((Eingabe!$H$112*Eingabe!$H$73/100-25000)*0.015&lt;=50,0,(Eingabe!$H$112*Eingabe!$H$73/100-25000)*0.015),0)</f>
        <v>0</v>
      </c>
      <c r="W27" s="446">
        <f t="shared" si="8"/>
        <v>18.572983068872983</v>
      </c>
      <c r="X27" s="447">
        <f>P27*Eingabe!$H$74/100</f>
        <v>8.478970531442015E-2</v>
      </c>
      <c r="Y27" s="447">
        <f>Q27*Eingabe!$H$73/100</f>
        <v>0.10094012537430969</v>
      </c>
      <c r="Z27" s="115"/>
      <c r="AA27" s="119">
        <f>F27/(1+(Eingabe!H$106/100))^B27</f>
        <v>100.96153846153844</v>
      </c>
      <c r="AB27" s="120">
        <f t="shared" si="9"/>
        <v>24717.393916855995</v>
      </c>
      <c r="AC27" s="118">
        <f t="shared" si="10"/>
        <v>26791.57577003388</v>
      </c>
      <c r="AD27" s="118">
        <f t="shared" si="11"/>
        <v>242383.50996429141</v>
      </c>
      <c r="AE27" s="448">
        <f t="shared" si="12"/>
        <v>0.11053382209862744</v>
      </c>
      <c r="AF27" s="448">
        <f t="shared" si="13"/>
        <v>0.10197638412158248</v>
      </c>
      <c r="AG27" s="115">
        <f t="shared" si="14"/>
        <v>0.10197638412158248</v>
      </c>
      <c r="AH27" s="115">
        <f t="shared" si="4"/>
        <v>0</v>
      </c>
      <c r="AI27" s="115">
        <v>16</v>
      </c>
      <c r="AJ27" s="428">
        <f>AF27*(1+(Eingabe!H$106/100))^AI27</f>
        <v>0.19099985496679639</v>
      </c>
      <c r="AK27" s="115"/>
      <c r="AL27" s="115"/>
      <c r="AM27" s="103"/>
      <c r="AN27" s="103"/>
      <c r="AO27" s="103"/>
      <c r="AP27" s="426"/>
    </row>
    <row r="28" spans="1:42" x14ac:dyDescent="0.2">
      <c r="A28" s="3"/>
      <c r="B28" s="252">
        <v>17</v>
      </c>
      <c r="C28" s="253">
        <f t="shared" si="5"/>
        <v>0.18944442730250444</v>
      </c>
      <c r="D28" s="254">
        <f>Eingabe!$H$112*1/(1+(Eingabe!H$98/100))^B27</f>
        <v>14516.328361313197</v>
      </c>
      <c r="E28" s="254">
        <f t="shared" si="6"/>
        <v>2750.0375129440813</v>
      </c>
      <c r="F28" s="254">
        <f>(Eingabe!H$89*(Eingabe!H$97/100))*((1+(Eingabe!H$102/100))^B27)+(Eingabe!H96*Eingabe!H37)</f>
        <v>196.66303080135535</v>
      </c>
      <c r="G28" s="254">
        <f>IF(AND(Eingabe!$J$88&lt;=Berechnungen!B28,(Eingabe!$J$88+Eingabe!$J$89)&gt;B28),(Eingabe!$H$92*(1-Eingabe!$H$87))/Eingabe!$J$89,0)</f>
        <v>0</v>
      </c>
      <c r="H28" s="254">
        <f>((Eingabe!$H$92*(1-Eingabe!$H$87))-SUM($G$11:G27))*Eingabe!$I$87</f>
        <v>0</v>
      </c>
      <c r="I28" s="254">
        <f t="shared" si="15"/>
        <v>0</v>
      </c>
      <c r="J28" s="254">
        <f t="shared" si="1"/>
        <v>2553.3744821427258</v>
      </c>
      <c r="K28" s="254">
        <f>J28/(1+(Eingabe!H$106/100))^B28</f>
        <v>1310.834145772694</v>
      </c>
      <c r="L28" s="254">
        <f t="shared" si="2"/>
        <v>4565.8748774986852</v>
      </c>
      <c r="M28" s="452">
        <f t="shared" si="7"/>
        <v>0</v>
      </c>
      <c r="N28" s="115">
        <v>18</v>
      </c>
      <c r="O28" s="444">
        <f>IF(Eingabe!$H$63=Eingabe!$C$169,IF(R28&lt;&gt;0,IF(Eingabe!$H$65=Eingabe!$C$200,S28,R28),P28),IF(Eingabe!$H$63=Eingabe!$C$171,T28,IF(Eingabe!$H$63=Eingabe!$C$170,T28,IF(Eingabe!$H$63=Eingabe!$C$172,T28,"Zuordnung!"))))</f>
        <v>0.18944442730250444</v>
      </c>
      <c r="P28" s="444">
        <f>Eingabe!H$104*(1+(Eingabe!H$105/100))^B27</f>
        <v>0.12355071345815508</v>
      </c>
      <c r="Q28" s="444">
        <f>Eingabe!H$103*(1+(Eingabe!H$105/100))^B27</f>
        <v>0.34319642627265301</v>
      </c>
      <c r="R28" s="444">
        <f>IF(Eingabe!$H$66="Überschusseinspeisung",S28,P28)</f>
        <v>0.18944442730250444</v>
      </c>
      <c r="S28" s="444">
        <f>IF(Eingabe!$H$66="Überschusseinspeisung",T28,P28)</f>
        <v>0.18944442730250444</v>
      </c>
      <c r="T28" s="444">
        <f>(P28*Eingabe!$H$74+Berechnungen!Q28*Eingabe!$H$73)/100</f>
        <v>0.18944442730250444</v>
      </c>
      <c r="U28" s="138"/>
      <c r="V28" s="445">
        <f>IF(Eingabe!$H$112*Eingabe!$H$73/100&gt;25000,IF((Eingabe!$H$112*Eingabe!$H$73/100-25000)*0.015&lt;=50,0,(Eingabe!$H$112*Eingabe!$H$73/100-25000)*0.015),0)</f>
        <v>0</v>
      </c>
      <c r="W28" s="446">
        <f t="shared" si="8"/>
        <v>18.944442730250444</v>
      </c>
      <c r="X28" s="447">
        <f>P28*Eingabe!$H$74/100</f>
        <v>8.6485499420708559E-2</v>
      </c>
      <c r="Y28" s="447">
        <f>Q28*Eingabe!$H$73/100</f>
        <v>0.10295892788179589</v>
      </c>
      <c r="Z28" s="115"/>
      <c r="AA28" s="119">
        <f>F28/(1+(Eingabe!H$106/100))^B28</f>
        <v>100.96153846153847</v>
      </c>
      <c r="AB28" s="120">
        <f t="shared" si="9"/>
        <v>24818.355455317535</v>
      </c>
      <c r="AC28" s="118">
        <f t="shared" si="10"/>
        <v>26988.238800835235</v>
      </c>
      <c r="AD28" s="118">
        <f t="shared" si="11"/>
        <v>256899.83832560462</v>
      </c>
      <c r="AE28" s="448">
        <f t="shared" si="12"/>
        <v>0.10505354529117809</v>
      </c>
      <c r="AF28" s="448">
        <f t="shared" si="13"/>
        <v>9.6607127575774526E-2</v>
      </c>
      <c r="AG28" s="115">
        <f t="shared" si="14"/>
        <v>9.6607127575774526E-2</v>
      </c>
      <c r="AH28" s="115">
        <f t="shared" si="4"/>
        <v>0</v>
      </c>
      <c r="AI28" s="115">
        <v>17</v>
      </c>
      <c r="AJ28" s="428">
        <f>AF28*(1+(Eingabe!H$106/100))^AI28</f>
        <v>0.1881810716791201</v>
      </c>
      <c r="AK28" s="115"/>
      <c r="AL28" s="115"/>
      <c r="AM28" s="103"/>
      <c r="AN28" s="103"/>
      <c r="AO28" s="103"/>
      <c r="AP28" s="426"/>
    </row>
    <row r="29" spans="1:42" x14ac:dyDescent="0.2">
      <c r="A29" s="3"/>
      <c r="B29" s="252">
        <v>18</v>
      </c>
      <c r="C29" s="253">
        <f t="shared" si="5"/>
        <v>0.19323331584855452</v>
      </c>
      <c r="D29" s="254">
        <f>Eingabe!$H$112*1/(1+(Eingabe!H$98/100))^B28</f>
        <v>14444.107822202186</v>
      </c>
      <c r="E29" s="254">
        <f t="shared" si="6"/>
        <v>2791.0828489581722</v>
      </c>
      <c r="F29" s="254">
        <f>(Eingabe!H$89*(Eingabe!H$97/100))*((1+(Eingabe!H$102/100))^B28)+IF(Eingabe!G95="viermal",Eingabe!H95,0)+(Eingabe!H96*Eingabe!H37)</f>
        <v>204.52955203340957</v>
      </c>
      <c r="G29" s="254">
        <f>IF(AND(Eingabe!$J$88&lt;=Berechnungen!B29,(Eingabe!$J$88+Eingabe!$J$89)&gt;B29),(Eingabe!$H$92*(1-Eingabe!$H$87))/Eingabe!$J$89,0)</f>
        <v>0</v>
      </c>
      <c r="H29" s="254">
        <f>((Eingabe!$H$92*(1-Eingabe!$H$87))-SUM($G$11:G28))*Eingabe!$I$87</f>
        <v>0</v>
      </c>
      <c r="I29" s="254">
        <f t="shared" si="15"/>
        <v>0</v>
      </c>
      <c r="J29" s="254">
        <f t="shared" si="1"/>
        <v>2586.5532969247624</v>
      </c>
      <c r="K29" s="254">
        <f>J29/(1+(Eingabe!H$106/100))^B29</f>
        <v>1276.7954438565989</v>
      </c>
      <c r="L29" s="254">
        <f t="shared" si="2"/>
        <v>5842.6703213552846</v>
      </c>
      <c r="M29" s="452">
        <f t="shared" si="7"/>
        <v>0</v>
      </c>
      <c r="N29" s="115">
        <v>19</v>
      </c>
      <c r="O29" s="444">
        <f>IF(Eingabe!$H$63=Eingabe!$C$169,IF(R29&lt;&gt;0,IF(Eingabe!$H$65=Eingabe!$C$200,S29,R29),P29),IF(Eingabe!$H$63=Eingabe!$C$171,T29,IF(Eingabe!$H$63=Eingabe!$C$170,T29,IF(Eingabe!$H$63=Eingabe!$C$172,T29,"Zuordnung!"))))</f>
        <v>0.19323331584855452</v>
      </c>
      <c r="P29" s="444">
        <f>Eingabe!H$104*(1+(Eingabe!H$105/100))^B28</f>
        <v>0.12602172772731818</v>
      </c>
      <c r="Q29" s="444">
        <f>Eingabe!H$103*(1+(Eingabe!H$105/100))^B28</f>
        <v>0.3500603547981061</v>
      </c>
      <c r="R29" s="444">
        <f>IF(Eingabe!$H$66="Überschusseinspeisung",S29,P29)</f>
        <v>0.19323331584855452</v>
      </c>
      <c r="S29" s="444">
        <f>IF(Eingabe!$H$66="Überschusseinspeisung",T29,P29)</f>
        <v>0.19323331584855452</v>
      </c>
      <c r="T29" s="444">
        <f>(P29*Eingabe!$H$74+Berechnungen!Q29*Eingabe!$H$73)/100</f>
        <v>0.19323331584855452</v>
      </c>
      <c r="U29" s="138"/>
      <c r="V29" s="445">
        <f>IF(Eingabe!$H$112*Eingabe!$H$73/100&gt;25000,IF((Eingabe!$H$112*Eingabe!$H$73/100-25000)*0.015&lt;=50,0,(Eingabe!$H$112*Eingabe!$H$73/100-25000)*0.015),0)</f>
        <v>0</v>
      </c>
      <c r="W29" s="446">
        <f t="shared" si="8"/>
        <v>19.323331584855453</v>
      </c>
      <c r="X29" s="447">
        <f>P29*Eingabe!$H$74/100</f>
        <v>8.8215209409122725E-2</v>
      </c>
      <c r="Y29" s="447">
        <f>Q29*Eingabe!$H$73/100</f>
        <v>0.10501810643943182</v>
      </c>
      <c r="Z29" s="115"/>
      <c r="AA29" s="119">
        <f>F29/(1+(Eingabe!H$106/100))^B29</f>
        <v>100.96153846153845</v>
      </c>
      <c r="AB29" s="120">
        <f t="shared" si="9"/>
        <v>24919.316993779074</v>
      </c>
      <c r="AC29" s="118">
        <f t="shared" si="10"/>
        <v>27192.768352868647</v>
      </c>
      <c r="AD29" s="118">
        <f t="shared" si="11"/>
        <v>271343.94614780683</v>
      </c>
      <c r="AE29" s="448">
        <f t="shared" si="12"/>
        <v>0.1002151282124281</v>
      </c>
      <c r="AF29" s="448">
        <f t="shared" si="13"/>
        <v>9.183664256214874E-2</v>
      </c>
      <c r="AG29" s="115">
        <f t="shared" si="14"/>
        <v>9.183664256214874E-2</v>
      </c>
      <c r="AH29" s="115">
        <f t="shared" si="4"/>
        <v>0</v>
      </c>
      <c r="AI29" s="115">
        <v>18</v>
      </c>
      <c r="AJ29" s="428">
        <f>AF29*(1+(Eingabe!H$106/100))^AI29</f>
        <v>0.18604418721931604</v>
      </c>
      <c r="AK29" s="115"/>
      <c r="AL29" s="115"/>
      <c r="AM29" s="103"/>
      <c r="AN29" s="103"/>
      <c r="AO29" s="103"/>
      <c r="AP29" s="426"/>
    </row>
    <row r="30" spans="1:42" x14ac:dyDescent="0.2">
      <c r="A30" s="3"/>
      <c r="B30" s="252">
        <v>19</v>
      </c>
      <c r="C30" s="253">
        <f t="shared" si="5"/>
        <v>0.19709798216552563</v>
      </c>
      <c r="D30" s="254">
        <f>Eingabe!$H$112*1/(1+(Eingabe!H$98/100))^B29</f>
        <v>14372.246589255912</v>
      </c>
      <c r="E30" s="254">
        <f t="shared" si="6"/>
        <v>2832.7408019276982</v>
      </c>
      <c r="F30" s="254">
        <f>(Eingabe!H$89*(Eingabe!H$97/100))*((1+(Eingabe!H$102/100))^B29)+(Eingabe!H96*Eingabe!H37)</f>
        <v>212.71073411474597</v>
      </c>
      <c r="G30" s="254">
        <f>IF(AND(Eingabe!$J$88&lt;=Berechnungen!B30,(Eingabe!$J$88+Eingabe!$J$89)&gt;B30),(Eingabe!$H$92*(1-Eingabe!$H$87))/Eingabe!$J$89,0)</f>
        <v>0</v>
      </c>
      <c r="H30" s="254">
        <f>((Eingabe!$H$92*(1-Eingabe!$H$87))-SUM($G$11:G29))*Eingabe!$I$87</f>
        <v>0</v>
      </c>
      <c r="I30" s="254">
        <f t="shared" si="15"/>
        <v>0</v>
      </c>
      <c r="J30" s="254">
        <f t="shared" si="1"/>
        <v>2620.030067812952</v>
      </c>
      <c r="K30" s="254">
        <f>J30/(1+(Eingabe!H$106/100))^B30</f>
        <v>1243.577422468906</v>
      </c>
      <c r="L30" s="254">
        <f t="shared" si="2"/>
        <v>7086.2477438241904</v>
      </c>
      <c r="M30" s="452">
        <f t="shared" si="7"/>
        <v>0</v>
      </c>
      <c r="N30" s="115">
        <v>20</v>
      </c>
      <c r="O30" s="444">
        <f>IF(Eingabe!$H$63=Eingabe!$C$169,IF(R30&lt;&gt;0,IF(Eingabe!$H$65=Eingabe!$C$200,S30,R30),P30),IF(Eingabe!$H$63=Eingabe!$C$171,T30,IF(Eingabe!$H$63=Eingabe!$C$170,T30,IF(Eingabe!$H$63=Eingabe!$C$172,T30,"Zuordnung!"))))</f>
        <v>0.19709798216552563</v>
      </c>
      <c r="P30" s="444">
        <f>Eingabe!H$104*(1+(Eingabe!H$105/100))^B29</f>
        <v>0.12854216228186455</v>
      </c>
      <c r="Q30" s="444">
        <f>Eingabe!H$103*(1+(Eingabe!H$105/100))^B29</f>
        <v>0.35706156189406818</v>
      </c>
      <c r="R30" s="444">
        <f>IF(Eingabe!$H$66="Überschusseinspeisung",S30,P30)</f>
        <v>0.19709798216552563</v>
      </c>
      <c r="S30" s="444">
        <f>IF(Eingabe!$H$66="Überschusseinspeisung",T30,P30)</f>
        <v>0.19709798216552563</v>
      </c>
      <c r="T30" s="444">
        <f>(P30*Eingabe!$H$74+Berechnungen!Q30*Eingabe!$H$73)/100</f>
        <v>0.19709798216552563</v>
      </c>
      <c r="U30" s="138"/>
      <c r="V30" s="445">
        <f>IF(Eingabe!$H$112*Eingabe!$H$73/100&gt;25000,IF((Eingabe!$H$112*Eingabe!$H$73/100-25000)*0.015&lt;=50,0,(Eingabe!$H$112*Eingabe!$H$73/100-25000)*0.015),0)</f>
        <v>0</v>
      </c>
      <c r="W30" s="446">
        <f t="shared" si="8"/>
        <v>19.709798216552564</v>
      </c>
      <c r="X30" s="447">
        <f>P30*Eingabe!$H$74/100</f>
        <v>8.9979513597305175E-2</v>
      </c>
      <c r="Y30" s="447">
        <f>Q30*Eingabe!$H$73/100</f>
        <v>0.10711846856822045</v>
      </c>
      <c r="Z30" s="115"/>
      <c r="AA30" s="119">
        <f>F30/(1+(Eingabe!H$106/100))^B30</f>
        <v>100.96153846153847</v>
      </c>
      <c r="AB30" s="120">
        <f t="shared" si="9"/>
        <v>25020.278532240613</v>
      </c>
      <c r="AC30" s="118">
        <f t="shared" si="10"/>
        <v>27405.479086983392</v>
      </c>
      <c r="AD30" s="118">
        <f t="shared" si="11"/>
        <v>285716.19273706275</v>
      </c>
      <c r="AE30" s="448">
        <f t="shared" si="12"/>
        <v>9.5918536588522826E-2</v>
      </c>
      <c r="AF30" s="448">
        <f t="shared" si="13"/>
        <v>8.7570390367290557E-2</v>
      </c>
      <c r="AG30" s="115">
        <f t="shared" si="14"/>
        <v>8.7570390367290557E-2</v>
      </c>
      <c r="AH30" s="115">
        <f t="shared" si="4"/>
        <v>0</v>
      </c>
      <c r="AI30" s="115">
        <v>19</v>
      </c>
      <c r="AJ30" s="428">
        <f>AF30*(1+(Eingabe!H$106/100))^AI30</f>
        <v>0.18449760478677049</v>
      </c>
      <c r="AK30" s="115"/>
      <c r="AL30" s="115"/>
      <c r="AM30" s="103"/>
      <c r="AN30" s="103"/>
      <c r="AO30" s="103"/>
      <c r="AP30" s="426"/>
    </row>
    <row r="31" spans="1:42" x14ac:dyDescent="0.2">
      <c r="A31" s="3"/>
      <c r="B31" s="252">
        <v>20</v>
      </c>
      <c r="C31" s="253">
        <f t="shared" si="5"/>
        <v>0.20103994180883614</v>
      </c>
      <c r="D31" s="254">
        <f>Eingabe!$H$112*1/(1+(Eingabe!H$98/100))^B30</f>
        <v>14300.742874881505</v>
      </c>
      <c r="E31" s="254">
        <f t="shared" si="6"/>
        <v>2875.0205153893057</v>
      </c>
      <c r="F31" s="254">
        <f>(Eingabe!H$89*(Eingabe!H$97/100))*((1+(Eingabe!H$102/100))^B30)+IF(Eingabe!G95="zweimal",Eingabe!H95,0)+(Eingabe!H96*Eingabe!H37)</f>
        <v>221.2191634793358</v>
      </c>
      <c r="G31" s="254">
        <f>IF(AND(Eingabe!$J$88&lt;=Berechnungen!B31,(Eingabe!$J$88+Eingabe!$J$89)&gt;B31),(Eingabe!$H$92*(1-Eingabe!$H$87))/Eingabe!$J$89,0)</f>
        <v>0</v>
      </c>
      <c r="H31" s="254">
        <f>((Eingabe!$H$92*(1-Eingabe!$H$87))-SUM($G$11:G30))*Eingabe!$I$87</f>
        <v>0</v>
      </c>
      <c r="I31" s="254">
        <f t="shared" si="15"/>
        <v>0</v>
      </c>
      <c r="J31" s="254">
        <f t="shared" si="1"/>
        <v>2653.80135190997</v>
      </c>
      <c r="K31" s="254">
        <f>J31/(1+(Eingabe!H$106/100))^B31</f>
        <v>1211.1602948230516</v>
      </c>
      <c r="L31" s="254">
        <f t="shared" si="2"/>
        <v>8297.4080386472415</v>
      </c>
      <c r="M31" s="452">
        <f t="shared" si="7"/>
        <v>0</v>
      </c>
      <c r="N31" s="115">
        <v>21</v>
      </c>
      <c r="O31" s="444">
        <f>IF(Eingabe!$H$63=Eingabe!$C$169,IF(R31&lt;&gt;0,IF(Eingabe!$H$65=Eingabe!$C$200,S31,R31),P31),IF(Eingabe!$H$63=Eingabe!$C$171,T31,IF(Eingabe!$H$63=Eingabe!$C$170,T31,IF(Eingabe!$H$63=Eingabe!$C$172,T31,"Zuordnung!"))))</f>
        <v>0.20103994180883614</v>
      </c>
      <c r="P31" s="444">
        <f>Eingabe!H$104*(1+(Eingabe!H$105/100))^B30</f>
        <v>0.13111300552750182</v>
      </c>
      <c r="Q31" s="444">
        <f>Eingabe!H$103*(1+(Eingabe!H$105/100))^B30</f>
        <v>0.36420279313194953</v>
      </c>
      <c r="R31" s="444">
        <f>IF(Eingabe!$H$66="Überschusseinspeisung",S31,P31)</f>
        <v>0.20103994180883614</v>
      </c>
      <c r="S31" s="444">
        <f>IF(Eingabe!$H$66="Überschusseinspeisung",T31,P31)</f>
        <v>0.20103994180883614</v>
      </c>
      <c r="T31" s="444">
        <f>(P31*Eingabe!$H$74+Berechnungen!Q31*Eingabe!$H$73)/100</f>
        <v>0.20103994180883614</v>
      </c>
      <c r="U31" s="138"/>
      <c r="V31" s="445">
        <f>IF(Eingabe!$H$112*Eingabe!$H$73/100&gt;25000,IF((Eingabe!$H$112*Eingabe!$H$73/100-25000)*0.015&lt;=50,0,(Eingabe!$H$112*Eingabe!$H$73/100-25000)*0.015),0)</f>
        <v>0</v>
      </c>
      <c r="W31" s="446">
        <f t="shared" si="8"/>
        <v>20.103994180883614</v>
      </c>
      <c r="X31" s="447">
        <f>P31*Eingabe!$H$74/100</f>
        <v>9.1779103869251269E-2</v>
      </c>
      <c r="Y31" s="447">
        <f>Q31*Eingabe!$H$73/100</f>
        <v>0.10926083793958487</v>
      </c>
      <c r="Z31" s="115"/>
      <c r="AA31" s="119">
        <f>F31/(1+(Eingabe!H$106/100))^B31</f>
        <v>100.96153846153847</v>
      </c>
      <c r="AB31" s="120">
        <f t="shared" si="9"/>
        <v>25121.240070702152</v>
      </c>
      <c r="AC31" s="118">
        <f t="shared" si="10"/>
        <v>27626.698250462727</v>
      </c>
      <c r="AD31" s="118">
        <f t="shared" si="11"/>
        <v>300016.93561194424</v>
      </c>
      <c r="AE31" s="448">
        <f t="shared" si="12"/>
        <v>9.2083795850099529E-2</v>
      </c>
      <c r="AF31" s="448">
        <f t="shared" si="13"/>
        <v>8.3732740018367238E-2</v>
      </c>
      <c r="AG31" s="115">
        <f t="shared" si="14"/>
        <v>8.3732740018367238E-2</v>
      </c>
      <c r="AH31" s="115">
        <f t="shared" si="4"/>
        <v>0</v>
      </c>
      <c r="AI31" s="115">
        <v>20</v>
      </c>
      <c r="AJ31" s="428">
        <f>AF31*(1+(Eingabe!H$106/100))^AI31</f>
        <v>0.18346874448384515</v>
      </c>
      <c r="AK31" s="115"/>
      <c r="AL31" s="115"/>
      <c r="AM31" s="103"/>
      <c r="AN31" s="103"/>
      <c r="AO31" s="103"/>
      <c r="AP31" s="426"/>
    </row>
    <row r="32" spans="1:42" x14ac:dyDescent="0.2">
      <c r="A32" s="3"/>
      <c r="B32" s="252">
        <v>21</v>
      </c>
      <c r="C32" s="253">
        <f t="shared" si="5"/>
        <v>0.20506074064501292</v>
      </c>
      <c r="D32" s="254">
        <f>Eingabe!$H$112*1/(1+(Eingabe!H$98/100))^B31</f>
        <v>14229.594900379609</v>
      </c>
      <c r="E32" s="254">
        <f t="shared" si="6"/>
        <v>2917.9312693503416</v>
      </c>
      <c r="F32" s="254">
        <f>(Eingabe!H$89*(Eingabe!H$97/100))*((1+(Eingabe!H$102/100))^B31)+IF(Eingabe!G95="dreimal",Eingabe!H95,0)+(Eingabe!H96*Eingabe!H37)</f>
        <v>230.06793001850923</v>
      </c>
      <c r="G32" s="254">
        <f>IF(AND(Eingabe!$J$88&lt;=Berechnungen!B32,(Eingabe!$J$88+Eingabe!$J$89)&gt;B32),(Eingabe!$H$92*(1-Eingabe!$H$87))/Eingabe!$J$89,0)</f>
        <v>0</v>
      </c>
      <c r="H32" s="254">
        <f>((Eingabe!$H$92*(1-Eingabe!$H$87))-SUM($G$11:G31))*Eingabe!$I$87</f>
        <v>0</v>
      </c>
      <c r="I32" s="254">
        <f t="shared" si="15"/>
        <v>0</v>
      </c>
      <c r="J32" s="254">
        <f t="shared" si="1"/>
        <v>2687.8633393318323</v>
      </c>
      <c r="K32" s="254">
        <f>J32/(1+(Eingabe!H$106/100))^B32</f>
        <v>1179.5247511962134</v>
      </c>
      <c r="L32" s="254">
        <f t="shared" si="2"/>
        <v>9476.9327898434549</v>
      </c>
      <c r="M32" s="452">
        <f t="shared" si="7"/>
        <v>0</v>
      </c>
      <c r="N32" s="115">
        <v>22</v>
      </c>
      <c r="O32" s="444">
        <f>IF(Eingabe!$H$63=Eingabe!$C$169,IF(R32&lt;&gt;0,IF(Eingabe!$H$65=Eingabe!$C$200,S32,R32),P32),IF(Eingabe!$H$63=Eingabe!$C$171,T32,IF(Eingabe!$H$63=Eingabe!$C$170,T32,IF(Eingabe!$H$63=Eingabe!$C$172,T32,"Zuordnung!"))))</f>
        <v>0.20506074064501292</v>
      </c>
      <c r="P32" s="444">
        <f>Eingabe!H$104*(1+(Eingabe!H$105/100))^B31</f>
        <v>0.13373526563805188</v>
      </c>
      <c r="Q32" s="444">
        <f>Eingabe!H$103*(1+(Eingabe!H$105/100))^B31</f>
        <v>0.37148684899458856</v>
      </c>
      <c r="R32" s="444">
        <f>IF(Eingabe!$H$66="Überschusseinspeisung",S32,P32)</f>
        <v>0.20506074064501292</v>
      </c>
      <c r="S32" s="444">
        <f>IF(Eingabe!$H$66="Überschusseinspeisung",T32,P32)</f>
        <v>0.20506074064501292</v>
      </c>
      <c r="T32" s="444">
        <f>(P32*Eingabe!$H$74+Berechnungen!Q32*Eingabe!$H$73)/100</f>
        <v>0.20506074064501292</v>
      </c>
      <c r="U32" s="138"/>
      <c r="V32" s="445">
        <f>IF(Eingabe!$H$112*Eingabe!$H$73/100&gt;25000,IF((Eingabe!$H$112*Eingabe!$H$73/100-25000)*0.015&lt;=50,0,(Eingabe!$H$112*Eingabe!$H$73/100-25000)*0.015),0)</f>
        <v>0</v>
      </c>
      <c r="W32" s="446">
        <f t="shared" si="8"/>
        <v>20.506074064501291</v>
      </c>
      <c r="X32" s="447">
        <f>P32*Eingabe!$H$74/100</f>
        <v>9.3614685946636328E-2</v>
      </c>
      <c r="Y32" s="447">
        <f>Q32*Eingabe!$H$73/100</f>
        <v>0.11144605469837657</v>
      </c>
      <c r="Z32" s="115"/>
      <c r="AA32" s="119">
        <f>F32/(1+(Eingabe!H$106/100))^B32</f>
        <v>100.96153846153844</v>
      </c>
      <c r="AB32" s="120">
        <f t="shared" si="9"/>
        <v>25222.201609163691</v>
      </c>
      <c r="AC32" s="118">
        <f t="shared" si="10"/>
        <v>27856.766180481234</v>
      </c>
      <c r="AD32" s="118">
        <f t="shared" si="11"/>
        <v>314246.53051232384</v>
      </c>
      <c r="AE32" s="448">
        <f t="shared" si="12"/>
        <v>8.8646217143800013E-2</v>
      </c>
      <c r="AF32" s="448">
        <f t="shared" si="13"/>
        <v>8.026246644010139E-2</v>
      </c>
      <c r="AG32" s="115">
        <f t="shared" si="14"/>
        <v>8.026246644010139E-2</v>
      </c>
      <c r="AH32" s="115">
        <f t="shared" si="4"/>
        <v>0</v>
      </c>
      <c r="AI32" s="115">
        <v>21</v>
      </c>
      <c r="AJ32" s="428">
        <f>AF32*(1+(Eingabe!H$106/100))^AI32</f>
        <v>0.18289954564320349</v>
      </c>
      <c r="AK32" s="115"/>
      <c r="AL32" s="115"/>
      <c r="AM32" s="103"/>
      <c r="AN32" s="103"/>
      <c r="AO32" s="103"/>
      <c r="AP32" s="426"/>
    </row>
    <row r="33" spans="1:42" x14ac:dyDescent="0.2">
      <c r="A33" s="3"/>
      <c r="B33" s="252">
        <v>22</v>
      </c>
      <c r="C33" s="253">
        <f t="shared" si="5"/>
        <v>0.20916195545791311</v>
      </c>
      <c r="D33" s="254">
        <f>Eingabe!$H$112*1/(1+(Eingabe!H$98/100))^B32</f>
        <v>14158.800895900113</v>
      </c>
      <c r="E33" s="254">
        <f t="shared" si="6"/>
        <v>2961.4824823257195</v>
      </c>
      <c r="F33" s="254">
        <f>(Eingabe!H$89*(Eingabe!H$97/100))*((1+(Eingabe!H$102/100))^B32)+(Eingabe!H96*Eingabe!H37)</f>
        <v>239.27064721924967</v>
      </c>
      <c r="G33" s="254">
        <f>IF(AND(Eingabe!$J$88&lt;=Berechnungen!B33,(Eingabe!$J$88+Eingabe!$J$89)&gt;B33),(Eingabe!$H$92*(1-Eingabe!$H$87))/Eingabe!$J$89,0)</f>
        <v>0</v>
      </c>
      <c r="H33" s="254">
        <f>((Eingabe!$H$92*(1-Eingabe!$H$87))-SUM($G$11:G32))*Eingabe!$I$87</f>
        <v>0</v>
      </c>
      <c r="I33" s="254">
        <f t="shared" si="15"/>
        <v>0</v>
      </c>
      <c r="J33" s="254">
        <f t="shared" si="1"/>
        <v>2722.2118351064701</v>
      </c>
      <c r="K33" s="254">
        <f>J33/(1+(Eingabe!H$106/100))^B33</f>
        <v>1148.6519474271975</v>
      </c>
      <c r="L33" s="254">
        <f t="shared" si="2"/>
        <v>10625.584737270652</v>
      </c>
      <c r="M33" s="452">
        <f t="shared" si="7"/>
        <v>0</v>
      </c>
      <c r="N33" s="115">
        <v>23</v>
      </c>
      <c r="O33" s="444">
        <f>IF(Eingabe!$H$63=Eingabe!$C$169,IF(R33&lt;&gt;0,IF(Eingabe!$H$65=Eingabe!$C$200,S33,R33),P33),IF(Eingabe!$H$63=Eingabe!$C$171,T33,IF(Eingabe!$H$63=Eingabe!$C$170,T33,IF(Eingabe!$H$63=Eingabe!$C$172,T33,"Zuordnung!"))))</f>
        <v>0.20916195545791311</v>
      </c>
      <c r="P33" s="444">
        <f>Eingabe!H$104*(1+(Eingabe!H$105/100))^B32</f>
        <v>0.13640997095081289</v>
      </c>
      <c r="Q33" s="444">
        <f>Eingabe!H$103*(1+(Eingabe!H$105/100))^B32</f>
        <v>0.3789165859744803</v>
      </c>
      <c r="R33" s="444">
        <f>IF(Eingabe!$H$66="Überschusseinspeisung",S33,P33)</f>
        <v>0.20916195545791311</v>
      </c>
      <c r="S33" s="444">
        <f>IF(Eingabe!$H$66="Überschusseinspeisung",T33,P33)</f>
        <v>0.20916195545791311</v>
      </c>
      <c r="T33" s="444">
        <f>(P33*Eingabe!$H$74+Berechnungen!Q33*Eingabe!$H$73)/100</f>
        <v>0.20916195545791311</v>
      </c>
      <c r="U33" s="138"/>
      <c r="V33" s="445">
        <f>IF(Eingabe!$H$112*Eingabe!$H$73/100&gt;25000,IF((Eingabe!$H$112*Eingabe!$H$73/100-25000)*0.015&lt;=50,0,(Eingabe!$H$112*Eingabe!$H$73/100-25000)*0.015),0)</f>
        <v>0</v>
      </c>
      <c r="W33" s="446">
        <f t="shared" si="8"/>
        <v>20.916195545791311</v>
      </c>
      <c r="X33" s="447">
        <f>P33*Eingabe!$H$74/100</f>
        <v>9.548697966556903E-2</v>
      </c>
      <c r="Y33" s="447">
        <f>Q33*Eingabe!$H$73/100</f>
        <v>0.1136749757923441</v>
      </c>
      <c r="Z33" s="115"/>
      <c r="AA33" s="119">
        <f>F33/(1+(Eingabe!H$106/100))^B33</f>
        <v>100.96153846153847</v>
      </c>
      <c r="AB33" s="120">
        <f t="shared" si="9"/>
        <v>25323.16314762523</v>
      </c>
      <c r="AC33" s="118">
        <f t="shared" si="10"/>
        <v>28096.036827700485</v>
      </c>
      <c r="AD33" s="118">
        <f t="shared" si="11"/>
        <v>328405.33140822395</v>
      </c>
      <c r="AE33" s="448">
        <f t="shared" si="12"/>
        <v>8.5552925426706103E-2</v>
      </c>
      <c r="AF33" s="448">
        <f t="shared" si="13"/>
        <v>7.7109476387115336E-2</v>
      </c>
      <c r="AG33" s="115">
        <f t="shared" si="14"/>
        <v>7.7109476387115336E-2</v>
      </c>
      <c r="AH33" s="115">
        <f t="shared" si="4"/>
        <v>0</v>
      </c>
      <c r="AI33" s="115">
        <v>22</v>
      </c>
      <c r="AJ33" s="428">
        <f>AF33*(1+(Eingabe!H$106/100))^AI33</f>
        <v>0.18274319709293177</v>
      </c>
      <c r="AK33" s="115"/>
      <c r="AL33" s="115"/>
      <c r="AM33" s="103"/>
      <c r="AN33" s="103"/>
      <c r="AO33" s="103"/>
      <c r="AP33" s="426"/>
    </row>
    <row r="34" spans="1:42" x14ac:dyDescent="0.2">
      <c r="A34" s="3"/>
      <c r="B34" s="252">
        <v>23</v>
      </c>
      <c r="C34" s="253">
        <f t="shared" si="5"/>
        <v>0.21334519456707141</v>
      </c>
      <c r="D34" s="254">
        <f>Eingabe!$H$112*1/(1+(Eingabe!H$98/100))^B33</f>
        <v>14088.359100398124</v>
      </c>
      <c r="E34" s="254">
        <f t="shared" si="6"/>
        <v>3005.6837134052089</v>
      </c>
      <c r="F34" s="254">
        <f>(Eingabe!H$89*(Eingabe!H$97/100))*((1+(Eingabe!H$102/100))^B33)+(Eingabe!H96*Eingabe!H37)</f>
        <v>248.84147310801964</v>
      </c>
      <c r="G34" s="254">
        <f>IF(AND(Eingabe!$J$88&lt;=Berechnungen!B34,(Eingabe!$J$88+Eingabe!$J$89)&gt;B34),(Eingabe!$H$92*(1-Eingabe!$H$87))/Eingabe!$J$89,0)</f>
        <v>0</v>
      </c>
      <c r="H34" s="254">
        <f>((Eingabe!$H$92*(1-Eingabe!$H$87))-SUM($G$11:G33))*Eingabe!$I$87</f>
        <v>0</v>
      </c>
      <c r="I34" s="254">
        <f t="shared" si="15"/>
        <v>0</v>
      </c>
      <c r="J34" s="254">
        <f t="shared" si="1"/>
        <v>2756.8422402971892</v>
      </c>
      <c r="K34" s="254">
        <f>J34/(1+(Eingabe!H$106/100))^B34</f>
        <v>1118.5234936916486</v>
      </c>
      <c r="L34" s="254">
        <f t="shared" si="2"/>
        <v>11744.108230962302</v>
      </c>
      <c r="M34" s="452">
        <f t="shared" si="7"/>
        <v>0</v>
      </c>
      <c r="N34" s="115">
        <v>24</v>
      </c>
      <c r="O34" s="444">
        <f>IF(Eingabe!$H$63=Eingabe!$C$169,IF(R34&lt;&gt;0,IF(Eingabe!$H$65=Eingabe!$C$200,S34,R34),P34),IF(Eingabe!$H$63=Eingabe!$C$171,T34,IF(Eingabe!$H$63=Eingabe!$C$170,T34,IF(Eingabe!$H$63=Eingabe!$C$172,T34,"Zuordnung!"))))</f>
        <v>0.21334519456707141</v>
      </c>
      <c r="P34" s="444">
        <f>Eingabe!H$104*(1+(Eingabe!H$105/100))^B33</f>
        <v>0.13913817036982917</v>
      </c>
      <c r="Q34" s="444">
        <f>Eingabe!H$103*(1+(Eingabe!H$105/100))^B33</f>
        <v>0.38649491769396993</v>
      </c>
      <c r="R34" s="444">
        <f>IF(Eingabe!$H$66="Überschusseinspeisung",S34,P34)</f>
        <v>0.21334519456707141</v>
      </c>
      <c r="S34" s="444">
        <f>IF(Eingabe!$H$66="Überschusseinspeisung",T34,P34)</f>
        <v>0.21334519456707141</v>
      </c>
      <c r="T34" s="444">
        <f>(P34*Eingabe!$H$74+Berechnungen!Q34*Eingabe!$H$73)/100</f>
        <v>0.21334519456707141</v>
      </c>
      <c r="U34" s="138"/>
      <c r="V34" s="445">
        <f>IF(Eingabe!$H$112*Eingabe!$H$73/100&gt;25000,IF((Eingabe!$H$112*Eingabe!$H$73/100-25000)*0.015&lt;=50,0,(Eingabe!$H$112*Eingabe!$H$73/100-25000)*0.015),0)</f>
        <v>0</v>
      </c>
      <c r="W34" s="446">
        <f t="shared" si="8"/>
        <v>21.334519456707142</v>
      </c>
      <c r="X34" s="447">
        <f>P34*Eingabe!$H$74/100</f>
        <v>9.739671925888041E-2</v>
      </c>
      <c r="Y34" s="447">
        <f>Q34*Eingabe!$H$73/100</f>
        <v>0.11594847530819098</v>
      </c>
      <c r="Z34" s="115"/>
      <c r="AA34" s="119">
        <f>F34/(1+(Eingabe!H$106/100))^B34</f>
        <v>100.96153846153847</v>
      </c>
      <c r="AB34" s="120">
        <f t="shared" si="9"/>
        <v>25424.124686086769</v>
      </c>
      <c r="AC34" s="118">
        <f t="shared" si="10"/>
        <v>28344.878300808505</v>
      </c>
      <c r="AD34" s="118">
        <f t="shared" si="11"/>
        <v>342493.69050862209</v>
      </c>
      <c r="AE34" s="448">
        <f t="shared" si="12"/>
        <v>8.2760293361068313E-2</v>
      </c>
      <c r="AF34" s="448">
        <f t="shared" si="13"/>
        <v>7.4232388480881317E-2</v>
      </c>
      <c r="AG34" s="115">
        <f t="shared" si="14"/>
        <v>7.4232388480881317E-2</v>
      </c>
      <c r="AH34" s="115">
        <f t="shared" si="4"/>
        <v>0</v>
      </c>
      <c r="AI34" s="115">
        <v>23</v>
      </c>
      <c r="AJ34" s="428">
        <f>AF34*(1+(Eingabe!H$106/100))^AI34</f>
        <v>0.18296172169510158</v>
      </c>
      <c r="AK34" s="115"/>
      <c r="AL34" s="115"/>
      <c r="AM34" s="103"/>
      <c r="AN34" s="103"/>
      <c r="AO34" s="103"/>
      <c r="AP34" s="426"/>
    </row>
    <row r="35" spans="1:42" x14ac:dyDescent="0.2">
      <c r="A35" s="3"/>
      <c r="B35" s="252">
        <v>24</v>
      </c>
      <c r="C35" s="253">
        <f t="shared" si="5"/>
        <v>0.21761209845841278</v>
      </c>
      <c r="D35" s="254">
        <f>Eingabe!$H$112*1/(1+(Eingabe!H$98/100))^B34</f>
        <v>14018.267761590176</v>
      </c>
      <c r="E35" s="254">
        <f t="shared" si="6"/>
        <v>3050.5446643515552</v>
      </c>
      <c r="F35" s="254">
        <f>(Eingabe!H$89*(Eingabe!H$97/100))*((1+(Eingabe!H$102/100))^B34)+IF(Eingabe!G95="viermal",Eingabe!H95,0)+(Eingabe!H96*Eingabe!H37)</f>
        <v>258.7951320323404</v>
      </c>
      <c r="G35" s="254">
        <f>IF(AND(Eingabe!$J$88&lt;=Berechnungen!B35,(Eingabe!$J$88+Eingabe!$J$89)&gt;B35),(Eingabe!$H$92*(1-Eingabe!$H$87))/Eingabe!$J$89,0)</f>
        <v>0</v>
      </c>
      <c r="H35" s="254">
        <f>((Eingabe!$H$92*(1-Eingabe!$H$87))-SUM($G$11:G34))*Eingabe!$I$87</f>
        <v>0</v>
      </c>
      <c r="I35" s="254">
        <f t="shared" si="15"/>
        <v>0</v>
      </c>
      <c r="J35" s="254">
        <f t="shared" si="1"/>
        <v>2791.7495323192147</v>
      </c>
      <c r="K35" s="254">
        <f>J35/(1+(Eingabe!H$106/100))^B35</f>
        <v>1089.1214435478862</v>
      </c>
      <c r="L35" s="254">
        <f t="shared" si="2"/>
        <v>12833.229674510188</v>
      </c>
      <c r="M35" s="452">
        <f t="shared" si="7"/>
        <v>0</v>
      </c>
      <c r="N35" s="115">
        <v>25</v>
      </c>
      <c r="O35" s="444">
        <f>IF(Eingabe!$H$63=Eingabe!$C$169,IF(R35&lt;&gt;0,IF(Eingabe!$H$65=Eingabe!$C$200,S35,R35),P35),IF(Eingabe!$H$63=Eingabe!$C$171,T35,IF(Eingabe!$H$63=Eingabe!$C$170,T35,IF(Eingabe!$H$63=Eingabe!$C$172,T35,"Zuordnung!"))))</f>
        <v>0.21761209845841278</v>
      </c>
      <c r="P35" s="444">
        <f>Eingabe!H$104*(1+(Eingabe!H$105/100))^B34</f>
        <v>0.14192093377722573</v>
      </c>
      <c r="Q35" s="444">
        <f>Eingabe!H$103*(1+(Eingabe!H$105/100))^B34</f>
        <v>0.39422481604784926</v>
      </c>
      <c r="R35" s="444">
        <f>IF(Eingabe!$H$66="Überschusseinspeisung",S35,P35)</f>
        <v>0.21761209845841278</v>
      </c>
      <c r="S35" s="444">
        <f>IF(Eingabe!$H$66="Überschusseinspeisung",T35,P35)</f>
        <v>0.21761209845841278</v>
      </c>
      <c r="T35" s="444">
        <f>(P35*Eingabe!$H$74+Berechnungen!Q35*Eingabe!$H$73)/100</f>
        <v>0.21761209845841278</v>
      </c>
      <c r="U35" s="138"/>
      <c r="V35" s="445">
        <f>IF(Eingabe!$H$112*Eingabe!$H$73/100&gt;25000,IF((Eingabe!$H$112*Eingabe!$H$73/100-25000)*0.015&lt;=50,0,(Eingabe!$H$112*Eingabe!$H$73/100-25000)*0.015),0)</f>
        <v>0</v>
      </c>
      <c r="W35" s="446">
        <f t="shared" si="8"/>
        <v>21.761209845841279</v>
      </c>
      <c r="X35" s="447">
        <f>P35*Eingabe!$H$74/100</f>
        <v>9.9344653644058006E-2</v>
      </c>
      <c r="Y35" s="447">
        <f>Q35*Eingabe!$H$73/100</f>
        <v>0.11826744481435478</v>
      </c>
      <c r="Z35" s="115"/>
      <c r="AA35" s="119">
        <f>F35/(1+(Eingabe!H$106/100))^B35</f>
        <v>100.96153846153845</v>
      </c>
      <c r="AB35" s="120">
        <f t="shared" si="9"/>
        <v>25525.086224548308</v>
      </c>
      <c r="AC35" s="118">
        <f t="shared" si="10"/>
        <v>28603.673432840846</v>
      </c>
      <c r="AD35" s="118">
        <f t="shared" si="11"/>
        <v>356511.95827021229</v>
      </c>
      <c r="AE35" s="448">
        <f t="shared" si="12"/>
        <v>8.0232016821049149E-2</v>
      </c>
      <c r="AF35" s="448">
        <f t="shared" si="13"/>
        <v>7.1596718237434256E-2</v>
      </c>
      <c r="AG35" s="115">
        <f t="shared" si="14"/>
        <v>7.1596718237434256E-2</v>
      </c>
      <c r="AH35" s="115">
        <f t="shared" si="4"/>
        <v>0</v>
      </c>
      <c r="AI35" s="115">
        <v>24</v>
      </c>
      <c r="AJ35" s="428">
        <f>AF35*(1+(Eingabe!H$106/100))^AI35</f>
        <v>0.18352416605059654</v>
      </c>
      <c r="AK35" s="115"/>
      <c r="AL35" s="115"/>
      <c r="AM35" s="103"/>
      <c r="AN35" s="103"/>
      <c r="AO35" s="103"/>
      <c r="AP35" s="426"/>
    </row>
    <row r="36" spans="1:42" ht="13.5" thickBot="1" x14ac:dyDescent="0.25">
      <c r="A36" s="3"/>
      <c r="B36" s="255">
        <v>25</v>
      </c>
      <c r="C36" s="253">
        <f t="shared" si="5"/>
        <v>0.22196434042758106</v>
      </c>
      <c r="D36" s="256">
        <f>Eingabe!$H$112*1/(1+(Eingabe!H$98/100))^B35</f>
        <v>13948.525135910622</v>
      </c>
      <c r="E36" s="256">
        <f t="shared" si="6"/>
        <v>3096.075181729937</v>
      </c>
      <c r="F36" s="254">
        <f>(Eingabe!H$89*(Eingabe!H$97/100))*((1+(Eingabe!H$102/100))^B35)+(Eingabe!H96*Eingabe!H37)</f>
        <v>269.14693731363406</v>
      </c>
      <c r="G36" s="254">
        <f>IF(AND(Eingabe!$J$88&lt;=Berechnungen!B36,(Eingabe!$J$88+Eingabe!$J$89)&gt;B36),(Eingabe!$H$92*(1-Eingabe!$H$87))/Eingabe!$J$89,0)</f>
        <v>0</v>
      </c>
      <c r="H36" s="256">
        <f>((Eingabe!$H$92*(1-Eingabe!$H$87))-SUM($G$11:G35))*Eingabe!$I$87</f>
        <v>0</v>
      </c>
      <c r="I36" s="256">
        <f t="shared" si="15"/>
        <v>0</v>
      </c>
      <c r="J36" s="256">
        <f t="shared" si="1"/>
        <v>2826.9282444163027</v>
      </c>
      <c r="K36" s="254">
        <f>J36/(1+(Eingabe!H$106/100))^B36</f>
        <v>1060.4282832468552</v>
      </c>
      <c r="L36" s="256">
        <f t="shared" si="2"/>
        <v>13893.657957757045</v>
      </c>
      <c r="M36" s="453">
        <f t="shared" si="7"/>
        <v>0</v>
      </c>
      <c r="N36" s="115">
        <v>26</v>
      </c>
      <c r="O36" s="444">
        <f>IF(Eingabe!$H$63=Eingabe!$C$169,IF(R36&lt;&gt;0,IF(Eingabe!$H$65=Eingabe!$C$200,S36,R36),P36),IF(Eingabe!$H$63=Eingabe!$C$171,T36,IF(Eingabe!$H$63=Eingabe!$C$170,T36,IF(Eingabe!$H$63=Eingabe!$C$172,T36,"Zuordnung!"))))</f>
        <v>0.22196434042758106</v>
      </c>
      <c r="P36" s="444">
        <f>Eingabe!H$104*(1+(Eingabe!H$105/100))^B35</f>
        <v>0.14475935245277025</v>
      </c>
      <c r="Q36" s="444">
        <f>Eingabe!H$103*(1+(Eingabe!H$105/100))^B35</f>
        <v>0.40210931236880626</v>
      </c>
      <c r="R36" s="444">
        <f>IF(Eingabe!$H$66="Überschusseinspeisung",S36,P36)</f>
        <v>0.22196434042758106</v>
      </c>
      <c r="S36" s="444">
        <f>IF(Eingabe!$H$66="Überschusseinspeisung",T36,P36)</f>
        <v>0.22196434042758106</v>
      </c>
      <c r="T36" s="444">
        <f>(P36*Eingabe!$H$74+Berechnungen!Q36*Eingabe!$H$73)/100</f>
        <v>0.22196434042758106</v>
      </c>
      <c r="U36" s="138"/>
      <c r="V36" s="445">
        <f>IF(Eingabe!$H$112*Eingabe!$H$73/100&gt;25000,IF((Eingabe!$H$112*Eingabe!$H$73/100-25000)*0.015&lt;=50,0,(Eingabe!$H$112*Eingabe!$H$73/100-25000)*0.015),0)</f>
        <v>0</v>
      </c>
      <c r="W36" s="446">
        <f t="shared" si="8"/>
        <v>22.196434042758106</v>
      </c>
      <c r="X36" s="447">
        <f>P36*Eingabe!$H$74/100</f>
        <v>0.10133154671693917</v>
      </c>
      <c r="Y36" s="447">
        <f>Q36*Eingabe!$H$73/100</f>
        <v>0.12063279371064187</v>
      </c>
      <c r="Z36" s="115"/>
      <c r="AA36" s="119">
        <f>F36/(1+(Eingabe!H$106/100))^B36</f>
        <v>100.96153846153845</v>
      </c>
      <c r="AB36" s="120">
        <f t="shared" si="9"/>
        <v>25626.047763009847</v>
      </c>
      <c r="AC36" s="118">
        <f t="shared" si="10"/>
        <v>28872.820370154481</v>
      </c>
      <c r="AD36" s="118">
        <f t="shared" si="11"/>
        <v>370460.48340612289</v>
      </c>
      <c r="AE36" s="448">
        <f t="shared" si="12"/>
        <v>7.7937652363591542E-2</v>
      </c>
      <c r="AF36" s="448">
        <f t="shared" si="13"/>
        <v>6.9173498688433407E-2</v>
      </c>
      <c r="AG36" s="115">
        <f t="shared" si="14"/>
        <v>6.9173498688433407E-2</v>
      </c>
      <c r="AH36" s="115">
        <f t="shared" si="4"/>
        <v>0</v>
      </c>
      <c r="AI36" s="115">
        <v>25</v>
      </c>
      <c r="AJ36" s="428">
        <f>AF36*(1+(Eingabe!H$106/100))^AI36</f>
        <v>0.18440522597972342</v>
      </c>
      <c r="AK36" s="115"/>
      <c r="AL36" s="115"/>
      <c r="AM36" s="103"/>
      <c r="AN36" s="103"/>
      <c r="AO36" s="103"/>
      <c r="AP36" s="426"/>
    </row>
    <row r="37" spans="1:42" ht="13.5" thickTop="1" x14ac:dyDescent="0.2">
      <c r="A37" s="3"/>
      <c r="B37" s="257" t="s">
        <v>84</v>
      </c>
      <c r="C37" s="258"/>
      <c r="D37" s="259">
        <f>SUM(D12:D36)</f>
        <v>370460.48340612289</v>
      </c>
      <c r="E37" s="259">
        <f>SUM(E12:E36)</f>
        <v>65165.498870576215</v>
      </c>
      <c r="F37" s="259">
        <f>SUM(F11:F36)</f>
        <v>28872.820370154481</v>
      </c>
      <c r="G37" s="259">
        <f>SUM(G12:G36)</f>
        <v>0</v>
      </c>
      <c r="H37" s="259">
        <f>SUM(H12:H36)</f>
        <v>0</v>
      </c>
      <c r="I37" s="259">
        <f>SUM(I11:I36)</f>
        <v>0</v>
      </c>
      <c r="J37" s="259">
        <f>SUM(J11:J36)</f>
        <v>36292.678500421745</v>
      </c>
      <c r="K37" s="259">
        <f>SUM(K11:K36)</f>
        <v>13893.657957757045</v>
      </c>
      <c r="L37" s="258"/>
      <c r="M37" s="454">
        <f>IF(MAX(M11:M36)&gt;25,"&gt;25",MAX(M11:M36))</f>
        <v>14</v>
      </c>
      <c r="U37" s="117"/>
      <c r="Y37" s="115"/>
      <c r="Z37" s="115"/>
      <c r="AA37" s="119"/>
      <c r="AB37" s="120"/>
      <c r="AC37" s="118"/>
      <c r="AD37" s="115"/>
      <c r="AE37" s="115"/>
      <c r="AF37" s="448"/>
      <c r="AG37" s="115"/>
      <c r="AH37" s="115"/>
      <c r="AI37" s="115"/>
      <c r="AJ37" s="428"/>
      <c r="AK37" s="115"/>
      <c r="AL37" s="115"/>
      <c r="AM37" s="103"/>
      <c r="AN37" s="103"/>
      <c r="AO37" s="103"/>
      <c r="AP37" s="426"/>
    </row>
    <row r="38" spans="1:42" x14ac:dyDescent="0.2">
      <c r="A38" s="3"/>
      <c r="B38" s="131"/>
      <c r="C38" s="131"/>
      <c r="D38" s="131"/>
      <c r="E38" s="132"/>
      <c r="F38" s="131"/>
      <c r="G38" s="131"/>
      <c r="H38" s="132"/>
      <c r="I38" s="260">
        <f>F37+I37</f>
        <v>28872.820370154481</v>
      </c>
      <c r="J38" s="132"/>
      <c r="K38" s="131"/>
      <c r="L38" s="131"/>
      <c r="M38" s="247"/>
      <c r="X38" s="119"/>
      <c r="Y38" s="120"/>
      <c r="Z38" s="118"/>
      <c r="AA38" s="115"/>
      <c r="AB38" s="115"/>
      <c r="AC38" s="448"/>
      <c r="AD38" s="115"/>
      <c r="AE38" s="115"/>
      <c r="AF38" s="115"/>
      <c r="AG38" s="428"/>
      <c r="AH38" s="115"/>
      <c r="AI38" s="115"/>
      <c r="AJ38" s="299"/>
      <c r="AK38" s="299"/>
      <c r="AL38" s="299"/>
      <c r="AM38" s="103"/>
      <c r="AN38" s="103"/>
      <c r="AO38" s="103"/>
      <c r="AP38" s="426"/>
    </row>
    <row r="39" spans="1:42" x14ac:dyDescent="0.2">
      <c r="A39" s="3"/>
      <c r="B39" s="131"/>
      <c r="C39" s="131"/>
      <c r="D39" s="131"/>
      <c r="E39" s="132"/>
      <c r="F39" s="131"/>
      <c r="G39" s="131"/>
      <c r="H39" s="132"/>
      <c r="I39" s="260"/>
      <c r="J39" s="132"/>
      <c r="K39" s="327" t="s">
        <v>2644</v>
      </c>
      <c r="L39" s="262">
        <f>I38/D37*100</f>
        <v>7.7937652363591541</v>
      </c>
      <c r="M39" s="131" t="s">
        <v>2358</v>
      </c>
      <c r="X39" s="119"/>
      <c r="Y39" s="120"/>
      <c r="Z39" s="118"/>
      <c r="AA39" s="115"/>
      <c r="AB39" s="115"/>
      <c r="AC39" s="448"/>
      <c r="AD39" s="115"/>
      <c r="AE39" s="115"/>
      <c r="AF39" s="115"/>
      <c r="AG39" s="428"/>
      <c r="AH39" s="115"/>
      <c r="AI39" s="115"/>
      <c r="AJ39" s="299"/>
      <c r="AK39" s="299"/>
      <c r="AL39" s="299"/>
      <c r="AM39" s="103"/>
      <c r="AN39" s="103"/>
      <c r="AO39" s="103"/>
      <c r="AP39" s="426"/>
    </row>
    <row r="40" spans="1:42" x14ac:dyDescent="0.2">
      <c r="A40" s="3"/>
      <c r="B40" s="131"/>
      <c r="C40" s="131"/>
      <c r="D40" s="131"/>
      <c r="E40" s="132"/>
      <c r="F40" s="131"/>
      <c r="G40" s="131"/>
      <c r="H40" s="132"/>
      <c r="I40" s="260"/>
      <c r="J40" s="132"/>
      <c r="K40" s="261" t="s">
        <v>36</v>
      </c>
      <c r="L40" s="263">
        <f>NPV(Eingabe!H$106/100,Berechnungen!J12:J36)+J11</f>
        <v>13893.657957757045</v>
      </c>
      <c r="M40" s="81" t="s">
        <v>2629</v>
      </c>
      <c r="X40" s="119"/>
      <c r="Y40" s="120"/>
      <c r="Z40" s="115"/>
      <c r="AA40" s="115"/>
      <c r="AB40" s="115"/>
      <c r="AC40" s="448"/>
      <c r="AD40" s="115"/>
      <c r="AE40" s="115"/>
      <c r="AF40" s="115"/>
      <c r="AG40" s="428"/>
      <c r="AH40" s="115"/>
      <c r="AI40" s="115"/>
      <c r="AJ40" s="299"/>
      <c r="AK40" s="299"/>
      <c r="AL40" s="299"/>
      <c r="AM40" s="103"/>
      <c r="AN40" s="103"/>
      <c r="AO40" s="103"/>
      <c r="AP40" s="426"/>
    </row>
    <row r="41" spans="1:42" x14ac:dyDescent="0.2">
      <c r="A41" s="3"/>
      <c r="B41" s="131"/>
      <c r="C41" s="131"/>
      <c r="D41" s="131"/>
      <c r="H41" s="331"/>
      <c r="I41" s="131"/>
      <c r="K41" s="327" t="s">
        <v>2655</v>
      </c>
      <c r="L41" s="328">
        <f>IRR(K11:K36)</f>
        <v>5.0527659947107617E-2</v>
      </c>
      <c r="M41" s="247"/>
      <c r="X41" s="119"/>
      <c r="Y41" s="120"/>
      <c r="Z41" s="115"/>
      <c r="AA41" s="115"/>
      <c r="AB41" s="115"/>
      <c r="AC41" s="448"/>
      <c r="AD41" s="115"/>
      <c r="AE41" s="115"/>
      <c r="AF41" s="115"/>
      <c r="AG41" s="428"/>
      <c r="AH41" s="115"/>
      <c r="AI41" s="115"/>
      <c r="AJ41" s="299"/>
      <c r="AK41" s="299"/>
      <c r="AL41" s="299"/>
      <c r="AM41" s="103"/>
      <c r="AN41" s="103"/>
      <c r="AO41" s="103"/>
      <c r="AP41" s="426"/>
    </row>
    <row r="42" spans="1:42" s="115" customFormat="1" x14ac:dyDescent="0.2">
      <c r="B42" s="396" t="s">
        <v>2039</v>
      </c>
      <c r="C42" s="391"/>
      <c r="D42" s="391"/>
      <c r="E42" s="392"/>
      <c r="F42" s="391"/>
      <c r="G42" s="391"/>
      <c r="H42" s="118"/>
      <c r="I42" s="392"/>
      <c r="J42" s="391"/>
      <c r="K42" s="391"/>
      <c r="M42" s="265"/>
      <c r="X42" s="119"/>
      <c r="Y42" s="120"/>
      <c r="AC42" s="448"/>
      <c r="AG42" s="428"/>
      <c r="AI42" s="121"/>
      <c r="AJ42" s="121"/>
      <c r="AK42" s="121"/>
      <c r="AL42" s="121"/>
      <c r="AM42" s="121"/>
      <c r="AN42" s="121"/>
      <c r="AO42" s="121"/>
    </row>
    <row r="43" spans="1:42" s="115" customFormat="1" x14ac:dyDescent="0.2">
      <c r="B43" s="391"/>
      <c r="C43" s="391"/>
      <c r="D43" s="391" t="s">
        <v>2295</v>
      </c>
      <c r="E43" s="392"/>
      <c r="F43" s="391"/>
      <c r="G43" s="391"/>
      <c r="H43" s="392"/>
      <c r="I43" s="392"/>
      <c r="J43" s="392"/>
      <c r="K43" s="391"/>
      <c r="L43" s="391"/>
      <c r="M43" s="265"/>
      <c r="X43" s="119"/>
      <c r="Y43" s="120"/>
      <c r="AC43" s="448"/>
      <c r="AG43" s="428"/>
      <c r="AI43" s="121"/>
      <c r="AJ43" s="121"/>
      <c r="AK43" s="121"/>
      <c r="AL43" s="121"/>
      <c r="AM43" s="121"/>
      <c r="AN43" s="121"/>
      <c r="AO43" s="121"/>
    </row>
    <row r="44" spans="1:42" s="115" customFormat="1" x14ac:dyDescent="0.2">
      <c r="B44" s="391"/>
      <c r="C44" s="391"/>
      <c r="D44" s="391" t="s">
        <v>2296</v>
      </c>
      <c r="E44" s="392"/>
      <c r="F44" s="391"/>
      <c r="G44" s="391"/>
      <c r="H44" s="392"/>
      <c r="I44" s="392"/>
      <c r="J44" s="392"/>
      <c r="K44" s="391"/>
      <c r="L44" s="391"/>
      <c r="M44" s="391"/>
      <c r="X44" s="119"/>
      <c r="Y44" s="120"/>
      <c r="AC44" s="448"/>
      <c r="AG44" s="428"/>
      <c r="AI44" s="121"/>
      <c r="AJ44" s="121"/>
      <c r="AK44" s="121"/>
      <c r="AL44" s="121"/>
      <c r="AM44" s="121"/>
      <c r="AN44" s="121"/>
      <c r="AO44" s="121"/>
    </row>
    <row r="45" spans="1:42" s="115" customFormat="1" x14ac:dyDescent="0.2">
      <c r="B45" s="391"/>
      <c r="C45" s="391"/>
      <c r="D45" s="391" t="s">
        <v>2040</v>
      </c>
      <c r="E45" s="392"/>
      <c r="F45" s="391"/>
      <c r="G45" s="391"/>
      <c r="H45" s="392"/>
      <c r="I45" s="392"/>
      <c r="J45" s="392"/>
      <c r="K45" s="391"/>
      <c r="L45" s="391"/>
      <c r="M45" s="391"/>
      <c r="X45" s="119"/>
      <c r="Y45" s="120"/>
      <c r="AC45" s="448"/>
      <c r="AG45" s="428"/>
      <c r="AI45" s="121"/>
      <c r="AJ45" s="121"/>
      <c r="AK45" s="121"/>
      <c r="AL45" s="121"/>
      <c r="AM45" s="121"/>
      <c r="AN45" s="121"/>
      <c r="AO45" s="121"/>
    </row>
    <row r="46" spans="1:42" s="115" customFormat="1" x14ac:dyDescent="0.2">
      <c r="B46" s="391"/>
      <c r="C46" s="455"/>
      <c r="D46" s="391" t="s">
        <v>606</v>
      </c>
      <c r="E46" s="392"/>
      <c r="F46" s="391"/>
      <c r="G46" s="391"/>
      <c r="H46" s="392"/>
      <c r="I46" s="392"/>
      <c r="J46" s="392"/>
      <c r="K46" s="391"/>
      <c r="L46" s="391"/>
      <c r="M46" s="391"/>
      <c r="X46" s="119"/>
      <c r="Y46" s="120"/>
      <c r="AC46" s="448"/>
      <c r="AG46" s="428"/>
      <c r="AI46" s="121"/>
      <c r="AJ46" s="121"/>
      <c r="AK46" s="121"/>
      <c r="AL46" s="121"/>
      <c r="AM46" s="121"/>
      <c r="AN46" s="121"/>
      <c r="AO46" s="121"/>
    </row>
    <row r="47" spans="1:42" s="115" customFormat="1" x14ac:dyDescent="0.2">
      <c r="B47" s="391"/>
      <c r="C47" s="391"/>
      <c r="D47" s="391"/>
      <c r="E47" s="392"/>
      <c r="F47" s="391"/>
      <c r="G47" s="391"/>
      <c r="H47" s="392"/>
      <c r="I47" s="392"/>
      <c r="J47" s="392"/>
      <c r="K47" s="391"/>
      <c r="L47" s="391"/>
      <c r="M47" s="391"/>
      <c r="AI47" s="121"/>
      <c r="AJ47" s="121"/>
      <c r="AK47" s="121"/>
      <c r="AL47" s="121"/>
      <c r="AM47" s="121"/>
      <c r="AN47" s="121"/>
      <c r="AO47" s="121"/>
    </row>
    <row r="48" spans="1:42" s="115" customFormat="1" x14ac:dyDescent="0.2">
      <c r="B48" s="391"/>
      <c r="C48" s="389" t="s">
        <v>2046</v>
      </c>
      <c r="D48" s="391" t="s">
        <v>2047</v>
      </c>
      <c r="E48" s="392"/>
      <c r="F48" s="391"/>
      <c r="G48" s="391"/>
      <c r="H48" s="392"/>
      <c r="I48" s="392"/>
      <c r="J48" s="392"/>
      <c r="K48" s="391"/>
      <c r="L48" s="391"/>
      <c r="M48" s="39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row>
    <row r="49" spans="1:41" s="115" customFormat="1" x14ac:dyDescent="0.2">
      <c r="B49" s="391"/>
      <c r="C49" s="389" t="s">
        <v>2292</v>
      </c>
      <c r="D49" s="391" t="s">
        <v>2048</v>
      </c>
      <c r="E49" s="392"/>
      <c r="F49" s="391"/>
      <c r="G49" s="391"/>
      <c r="H49" s="392"/>
      <c r="I49" s="392"/>
      <c r="J49" s="392"/>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row>
    <row r="50" spans="1:41" s="115" customFormat="1" x14ac:dyDescent="0.2">
      <c r="B50" s="391"/>
      <c r="C50" s="389" t="s">
        <v>934</v>
      </c>
      <c r="D50" s="391" t="s">
        <v>2049</v>
      </c>
      <c r="E50" s="392"/>
      <c r="F50" s="391"/>
      <c r="G50" s="391"/>
      <c r="H50" s="392"/>
      <c r="I50" s="392"/>
      <c r="J50" s="392"/>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row>
    <row r="51" spans="1:41" s="115" customFormat="1" x14ac:dyDescent="0.2">
      <c r="E51" s="118"/>
      <c r="H51" s="118"/>
      <c r="I51" s="118"/>
      <c r="J51" s="118"/>
      <c r="N51" s="118"/>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row>
    <row r="52" spans="1:41" x14ac:dyDescent="0.2">
      <c r="A52" s="3"/>
      <c r="B52" s="139" t="s">
        <v>1242</v>
      </c>
      <c r="C52" s="115"/>
      <c r="D52" s="115"/>
      <c r="E52" s="115"/>
      <c r="F52" s="115"/>
      <c r="G52" s="115"/>
      <c r="H52" s="456"/>
      <c r="I52" s="118"/>
      <c r="J52" s="118"/>
      <c r="K52" s="115"/>
      <c r="L52" s="137"/>
      <c r="M52" s="137"/>
      <c r="N52" s="457"/>
      <c r="O52" s="137"/>
      <c r="P52" s="121"/>
      <c r="Q52" s="121"/>
      <c r="R52" s="121"/>
      <c r="S52" s="121"/>
      <c r="T52" s="121"/>
      <c r="U52" s="121"/>
      <c r="V52" s="121"/>
      <c r="W52" s="121"/>
      <c r="X52" s="121"/>
      <c r="Y52" s="121"/>
      <c r="Z52" s="121"/>
      <c r="AA52" s="121"/>
      <c r="AB52" s="121"/>
      <c r="AC52" s="121"/>
      <c r="AD52" s="121"/>
      <c r="AE52" s="121"/>
      <c r="AF52" s="121"/>
      <c r="AG52" s="121"/>
      <c r="AH52" s="121"/>
      <c r="AI52" s="121"/>
      <c r="AJ52" s="103"/>
      <c r="AK52" s="103"/>
      <c r="AL52" s="103"/>
      <c r="AM52" s="103"/>
      <c r="AN52" s="103"/>
      <c r="AO52" s="103"/>
    </row>
    <row r="53" spans="1:41" x14ac:dyDescent="0.2">
      <c r="A53" s="3"/>
      <c r="B53" s="115"/>
      <c r="C53" s="115"/>
      <c r="D53" s="117" t="s">
        <v>608</v>
      </c>
      <c r="E53" s="443" t="s">
        <v>2323</v>
      </c>
      <c r="F53" s="117" t="s">
        <v>2324</v>
      </c>
      <c r="G53" s="115"/>
      <c r="H53" s="443" t="s">
        <v>2163</v>
      </c>
      <c r="I53" s="118"/>
      <c r="J53" s="118"/>
      <c r="K53" s="115"/>
      <c r="L53" s="137"/>
      <c r="M53" s="138"/>
      <c r="N53" s="138"/>
      <c r="O53" s="138"/>
      <c r="P53" s="121"/>
      <c r="Q53" s="121"/>
      <c r="R53" s="121"/>
      <c r="S53" s="121"/>
      <c r="T53" s="121"/>
      <c r="U53" s="121"/>
      <c r="V53" s="121"/>
      <c r="W53" s="121"/>
      <c r="X53" s="121"/>
      <c r="Y53" s="103"/>
      <c r="Z53" s="103"/>
      <c r="AA53" s="103"/>
      <c r="AB53" s="103"/>
      <c r="AC53" s="103"/>
      <c r="AD53" s="103"/>
      <c r="AE53" s="103"/>
      <c r="AF53" s="103"/>
      <c r="AG53" s="103"/>
      <c r="AH53" s="103"/>
      <c r="AI53" s="103"/>
      <c r="AJ53" s="103"/>
      <c r="AK53" s="103"/>
      <c r="AL53" s="103"/>
      <c r="AM53" s="103"/>
      <c r="AN53" s="103"/>
      <c r="AO53" s="103"/>
    </row>
    <row r="54" spans="1:41" x14ac:dyDescent="0.2">
      <c r="A54" s="3"/>
      <c r="B54" s="115"/>
      <c r="C54" s="137"/>
      <c r="D54" s="137">
        <v>5</v>
      </c>
      <c r="E54" s="457">
        <v>20</v>
      </c>
      <c r="F54" s="137" t="s">
        <v>2322</v>
      </c>
      <c r="G54" s="115"/>
      <c r="H54" s="137">
        <f>Eingabe!H37</f>
        <v>15</v>
      </c>
      <c r="I54" s="137"/>
      <c r="J54" s="137"/>
      <c r="K54" s="115"/>
      <c r="L54" s="137"/>
      <c r="M54" s="138"/>
      <c r="N54" s="138"/>
      <c r="O54" s="138"/>
      <c r="P54" s="121"/>
      <c r="Q54" s="121"/>
      <c r="R54" s="121"/>
      <c r="S54" s="121"/>
      <c r="T54" s="121"/>
      <c r="U54" s="121"/>
      <c r="V54" s="121"/>
      <c r="W54" s="121"/>
      <c r="X54" s="121"/>
      <c r="Y54" s="103"/>
      <c r="Z54" s="103"/>
      <c r="AA54" s="103"/>
      <c r="AB54" s="103"/>
      <c r="AC54" s="103"/>
      <c r="AD54" s="103"/>
      <c r="AE54" s="103"/>
      <c r="AF54" s="103"/>
      <c r="AG54" s="103"/>
      <c r="AH54" s="103"/>
      <c r="AI54" s="103"/>
      <c r="AJ54" s="103"/>
      <c r="AK54" s="103"/>
      <c r="AL54" s="103"/>
      <c r="AM54" s="103"/>
      <c r="AN54" s="103"/>
      <c r="AO54" s="103"/>
    </row>
    <row r="55" spans="1:41" x14ac:dyDescent="0.2">
      <c r="A55" s="3"/>
      <c r="B55" s="115"/>
      <c r="C55" s="137" t="s">
        <v>1806</v>
      </c>
      <c r="D55" s="138"/>
      <c r="E55" s="458" t="str">
        <f>Förderungen!H11</f>
        <v>-</v>
      </c>
      <c r="F55" s="458" t="str">
        <f>E55</f>
        <v>-</v>
      </c>
      <c r="G55" s="115"/>
      <c r="H55" s="137" t="str">
        <f>IF(Eingabe!$H$37&lt;$D$54,D55,IF(Eingabe!$H$37&lt;=$E$54,E55,IF(Eingabe!$H$37&gt;$E$54,F55,"")))</f>
        <v>-</v>
      </c>
      <c r="I55" s="459">
        <f>IF(C55=$F$6,H55,0)</f>
        <v>0</v>
      </c>
      <c r="J55" s="138"/>
      <c r="K55" s="115"/>
      <c r="L55" s="137"/>
      <c r="M55" s="138"/>
      <c r="N55" s="138"/>
      <c r="O55" s="138"/>
      <c r="P55" s="121"/>
      <c r="Q55" s="121"/>
      <c r="R55" s="121"/>
      <c r="S55" s="121"/>
      <c r="T55" s="121"/>
      <c r="U55" s="121"/>
      <c r="V55" s="121"/>
      <c r="W55" s="121"/>
      <c r="X55" s="121"/>
      <c r="Y55" s="103"/>
      <c r="Z55" s="103"/>
      <c r="AA55" s="103"/>
      <c r="AB55" s="103"/>
      <c r="AC55" s="103"/>
      <c r="AD55" s="103"/>
      <c r="AE55" s="103"/>
      <c r="AF55" s="103"/>
      <c r="AG55" s="103"/>
      <c r="AH55" s="103"/>
      <c r="AI55" s="103"/>
      <c r="AJ55" s="103"/>
      <c r="AK55" s="103"/>
      <c r="AL55" s="103"/>
      <c r="AM55" s="103"/>
      <c r="AN55" s="103"/>
      <c r="AO55" s="103"/>
    </row>
    <row r="56" spans="1:41" x14ac:dyDescent="0.2">
      <c r="A56" s="3"/>
      <c r="B56" s="115"/>
      <c r="C56" s="137" t="s">
        <v>1476</v>
      </c>
      <c r="D56" s="138"/>
      <c r="E56" s="458" t="str">
        <f>Förderungen!H23</f>
        <v>-</v>
      </c>
      <c r="F56" s="458" t="str">
        <f t="shared" ref="F56:F63" si="16">E56</f>
        <v>-</v>
      </c>
      <c r="G56" s="115"/>
      <c r="H56" s="137" t="str">
        <f>IF(Eingabe!$H$37&lt;$D$54,D56,IF(Eingabe!$H$37&lt;=$E$54,E56,IF(Eingabe!$H$37&gt;$E$54,F56,"")))</f>
        <v>-</v>
      </c>
      <c r="I56" s="460">
        <f t="shared" ref="I56:I63" si="17">IF(C56=$F$6,H56,0)</f>
        <v>0</v>
      </c>
      <c r="J56" s="118"/>
      <c r="K56" s="115"/>
      <c r="L56" s="137"/>
      <c r="M56" s="138"/>
      <c r="N56" s="138"/>
      <c r="O56" s="138"/>
      <c r="P56" s="121"/>
      <c r="Q56" s="121"/>
      <c r="R56" s="121"/>
      <c r="S56" s="121"/>
      <c r="T56" s="121"/>
      <c r="U56" s="121"/>
      <c r="V56" s="121"/>
      <c r="W56" s="121"/>
      <c r="X56" s="121"/>
      <c r="Y56" s="103"/>
      <c r="Z56" s="103"/>
      <c r="AA56" s="103"/>
      <c r="AB56" s="103"/>
      <c r="AC56" s="103"/>
      <c r="AD56" s="103"/>
      <c r="AE56" s="103"/>
      <c r="AF56" s="103"/>
      <c r="AG56" s="103"/>
      <c r="AH56" s="103"/>
      <c r="AI56" s="103"/>
      <c r="AJ56" s="103"/>
      <c r="AK56" s="103"/>
      <c r="AL56" s="103"/>
      <c r="AM56" s="103"/>
      <c r="AN56" s="103"/>
      <c r="AO56" s="103"/>
    </row>
    <row r="57" spans="1:41" x14ac:dyDescent="0.2">
      <c r="A57" s="3"/>
      <c r="B57" s="115"/>
      <c r="C57" s="137" t="s">
        <v>1281</v>
      </c>
      <c r="D57" s="138"/>
      <c r="E57" s="458" t="str">
        <f>Förderungen!H35</f>
        <v>-</v>
      </c>
      <c r="F57" s="458" t="str">
        <f t="shared" si="16"/>
        <v>-</v>
      </c>
      <c r="G57" s="115"/>
      <c r="H57" s="137" t="str">
        <f>IF(Eingabe!$H$37&lt;$D$54,D57,IF(Eingabe!$H$37&lt;=$E$54,E57,IF(Eingabe!$H$37&gt;$E$54,F57,"")))</f>
        <v>-</v>
      </c>
      <c r="I57" s="460">
        <f t="shared" si="17"/>
        <v>0</v>
      </c>
      <c r="J57" s="118"/>
      <c r="K57" s="115"/>
      <c r="L57" s="137"/>
      <c r="M57" s="138"/>
      <c r="N57" s="138"/>
      <c r="O57" s="138"/>
      <c r="P57" s="121"/>
      <c r="Q57" s="121"/>
      <c r="R57" s="121"/>
      <c r="S57" s="121"/>
      <c r="T57" s="121"/>
      <c r="U57" s="121"/>
      <c r="V57" s="121"/>
      <c r="W57" s="121"/>
      <c r="X57" s="121"/>
      <c r="Y57" s="103"/>
      <c r="Z57" s="103"/>
      <c r="AA57" s="103"/>
      <c r="AB57" s="103"/>
      <c r="AC57" s="103"/>
      <c r="AD57" s="103"/>
      <c r="AE57" s="103"/>
      <c r="AF57" s="103"/>
      <c r="AG57" s="103"/>
      <c r="AH57" s="103"/>
      <c r="AI57" s="103"/>
      <c r="AJ57" s="103"/>
      <c r="AK57" s="103"/>
      <c r="AL57" s="103"/>
      <c r="AM57" s="103"/>
      <c r="AN57" s="103"/>
      <c r="AO57" s="103"/>
    </row>
    <row r="58" spans="1:41" x14ac:dyDescent="0.2">
      <c r="A58" s="3"/>
      <c r="B58" s="115"/>
      <c r="C58" s="137" t="s">
        <v>520</v>
      </c>
      <c r="D58" s="138"/>
      <c r="E58" s="458" t="str">
        <f>Förderungen!H47</f>
        <v>-</v>
      </c>
      <c r="F58" s="458" t="str">
        <f t="shared" si="16"/>
        <v>-</v>
      </c>
      <c r="G58" s="115"/>
      <c r="H58" s="137" t="str">
        <f>IF(Eingabe!$H$37&lt;$D$54,D58,IF(Eingabe!$H$37&lt;=$E$54,E58,IF(Eingabe!$H$37&gt;$E$54,F58,"")))</f>
        <v>-</v>
      </c>
      <c r="I58" s="460" t="str">
        <f t="shared" si="17"/>
        <v>-</v>
      </c>
      <c r="J58" s="118"/>
      <c r="K58" s="115"/>
      <c r="L58" s="137"/>
      <c r="M58" s="138"/>
      <c r="N58" s="138"/>
      <c r="O58" s="138"/>
      <c r="P58" s="121"/>
      <c r="Q58" s="121"/>
      <c r="R58" s="121"/>
      <c r="S58" s="121"/>
      <c r="T58" s="121"/>
      <c r="U58" s="121"/>
      <c r="V58" s="121"/>
      <c r="W58" s="121"/>
      <c r="X58" s="121"/>
      <c r="Y58" s="103"/>
      <c r="Z58" s="103"/>
      <c r="AA58" s="103"/>
      <c r="AB58" s="103"/>
      <c r="AC58" s="103"/>
      <c r="AD58" s="103"/>
      <c r="AE58" s="103"/>
      <c r="AF58" s="103"/>
      <c r="AG58" s="103"/>
      <c r="AH58" s="103"/>
      <c r="AI58" s="103"/>
      <c r="AJ58" s="103"/>
      <c r="AK58" s="103"/>
      <c r="AL58" s="103"/>
      <c r="AM58" s="103"/>
      <c r="AN58" s="103"/>
      <c r="AO58" s="103"/>
    </row>
    <row r="59" spans="1:41" x14ac:dyDescent="0.2">
      <c r="A59" s="3"/>
      <c r="B59" s="115"/>
      <c r="C59" s="137" t="s">
        <v>669</v>
      </c>
      <c r="D59" s="138"/>
      <c r="E59" s="458" t="str">
        <f>Förderungen!H47</f>
        <v>-</v>
      </c>
      <c r="F59" s="458" t="str">
        <f t="shared" si="16"/>
        <v>-</v>
      </c>
      <c r="G59" s="115"/>
      <c r="H59" s="137" t="str">
        <f>IF(Eingabe!$H$37&lt;$D$54,D59,IF(Eingabe!$H$37&lt;=$E$54,E59,IF(Eingabe!$H$37&gt;$E$54,F59,"")))</f>
        <v>-</v>
      </c>
      <c r="I59" s="460">
        <f t="shared" si="17"/>
        <v>0</v>
      </c>
      <c r="J59" s="118"/>
      <c r="K59" s="115"/>
      <c r="L59" s="137"/>
      <c r="M59" s="138"/>
      <c r="N59" s="138"/>
      <c r="O59" s="138"/>
      <c r="P59" s="121"/>
      <c r="Q59" s="121"/>
      <c r="R59" s="121"/>
      <c r="S59" s="121"/>
      <c r="T59" s="121"/>
      <c r="U59" s="121"/>
      <c r="V59" s="121"/>
      <c r="W59" s="121"/>
      <c r="X59" s="121"/>
      <c r="Y59" s="103"/>
      <c r="Z59" s="103"/>
      <c r="AA59" s="103"/>
      <c r="AB59" s="103"/>
      <c r="AC59" s="103"/>
      <c r="AD59" s="103"/>
      <c r="AE59" s="103"/>
      <c r="AF59" s="103"/>
      <c r="AG59" s="103"/>
      <c r="AH59" s="103"/>
      <c r="AI59" s="103"/>
      <c r="AJ59" s="103"/>
      <c r="AK59" s="103"/>
      <c r="AL59" s="103"/>
      <c r="AM59" s="103"/>
      <c r="AN59" s="103"/>
      <c r="AO59" s="103"/>
    </row>
    <row r="60" spans="1:41" x14ac:dyDescent="0.2">
      <c r="A60" s="3"/>
      <c r="B60" s="115"/>
      <c r="C60" s="137" t="s">
        <v>2582</v>
      </c>
      <c r="D60" s="138"/>
      <c r="E60" s="458" t="str">
        <f>Förderungen!H73</f>
        <v>-</v>
      </c>
      <c r="F60" s="458" t="str">
        <f t="shared" si="16"/>
        <v>-</v>
      </c>
      <c r="G60" s="440"/>
      <c r="H60" s="137" t="str">
        <f>IF(Eingabe!$H$37&lt;$D$54,D60,IF(Eingabe!$H$37&lt;=$E$54,E60,IF(Eingabe!$H$37&gt;$E$54,F60,"")))</f>
        <v>-</v>
      </c>
      <c r="I60" s="460">
        <f t="shared" si="17"/>
        <v>0</v>
      </c>
      <c r="J60" s="118"/>
      <c r="K60" s="115"/>
      <c r="L60" s="137"/>
      <c r="M60" s="138"/>
      <c r="N60" s="138"/>
      <c r="O60" s="138"/>
      <c r="P60" s="121"/>
      <c r="Q60" s="121"/>
      <c r="R60" s="121"/>
      <c r="S60" s="121"/>
      <c r="T60" s="121"/>
      <c r="U60" s="121"/>
      <c r="V60" s="121"/>
      <c r="W60" s="121"/>
      <c r="X60" s="121"/>
      <c r="Y60" s="103"/>
      <c r="Z60" s="103"/>
      <c r="AA60" s="103"/>
      <c r="AB60" s="103"/>
      <c r="AC60" s="103"/>
      <c r="AD60" s="103"/>
      <c r="AE60" s="103"/>
      <c r="AF60" s="103"/>
      <c r="AG60" s="103"/>
      <c r="AH60" s="103"/>
      <c r="AI60" s="103"/>
      <c r="AJ60" s="103"/>
      <c r="AK60" s="103"/>
      <c r="AL60" s="103"/>
      <c r="AM60" s="103"/>
      <c r="AN60" s="103"/>
      <c r="AO60" s="103"/>
    </row>
    <row r="61" spans="1:41" x14ac:dyDescent="0.2">
      <c r="A61" s="3"/>
      <c r="B61" s="115"/>
      <c r="C61" s="137" t="s">
        <v>871</v>
      </c>
      <c r="D61" s="138"/>
      <c r="E61" s="458" t="str">
        <f>Förderungen!H85</f>
        <v>-</v>
      </c>
      <c r="F61" s="458" t="str">
        <f t="shared" si="16"/>
        <v>-</v>
      </c>
      <c r="G61" s="440"/>
      <c r="H61" s="137" t="str">
        <f>IF(Eingabe!$H$37&lt;$D$54,D61,IF(Eingabe!$H$37&lt;=$E$54,E61,IF(Eingabe!$H$37&gt;$E$54,F61,"")))</f>
        <v>-</v>
      </c>
      <c r="I61" s="460">
        <f t="shared" si="17"/>
        <v>0</v>
      </c>
      <c r="J61" s="118"/>
      <c r="K61" s="115"/>
      <c r="L61" s="137"/>
      <c r="M61" s="138"/>
      <c r="N61" s="138"/>
      <c r="O61" s="138"/>
      <c r="P61" s="121"/>
      <c r="Q61" s="121"/>
      <c r="R61" s="121"/>
      <c r="S61" s="121"/>
      <c r="T61" s="121"/>
      <c r="U61" s="121"/>
      <c r="V61" s="121"/>
      <c r="W61" s="121"/>
      <c r="X61" s="121"/>
      <c r="Y61" s="103"/>
      <c r="Z61" s="103"/>
      <c r="AA61" s="103"/>
      <c r="AB61" s="103"/>
      <c r="AC61" s="103"/>
      <c r="AD61" s="103"/>
      <c r="AE61" s="103"/>
      <c r="AF61" s="103"/>
      <c r="AG61" s="103"/>
      <c r="AH61" s="103"/>
      <c r="AI61" s="103"/>
      <c r="AJ61" s="103"/>
      <c r="AK61" s="103"/>
      <c r="AL61" s="103"/>
      <c r="AM61" s="103"/>
      <c r="AN61" s="103"/>
      <c r="AO61" s="103"/>
    </row>
    <row r="62" spans="1:41" x14ac:dyDescent="0.2">
      <c r="A62" s="3"/>
      <c r="B62" s="115"/>
      <c r="C62" s="137" t="s">
        <v>1075</v>
      </c>
      <c r="D62" s="138"/>
      <c r="E62" s="458" t="str">
        <f>Förderungen!H97</f>
        <v>-</v>
      </c>
      <c r="F62" s="458" t="str">
        <f t="shared" si="16"/>
        <v>-</v>
      </c>
      <c r="G62" s="115"/>
      <c r="H62" s="137" t="str">
        <f>IF(Eingabe!$H$37&lt;$D$54,D62,IF(Eingabe!$H$37&lt;=$E$54,E62,IF(Eingabe!$H$37&gt;$E$54,F62,"")))</f>
        <v>-</v>
      </c>
      <c r="I62" s="460">
        <f t="shared" si="17"/>
        <v>0</v>
      </c>
      <c r="J62" s="118"/>
      <c r="K62" s="115"/>
      <c r="L62" s="115"/>
      <c r="M62" s="115"/>
      <c r="P62" s="121"/>
      <c r="Q62" s="121"/>
      <c r="R62" s="121"/>
      <c r="S62" s="121"/>
      <c r="T62" s="121"/>
      <c r="U62" s="121"/>
      <c r="V62" s="121"/>
      <c r="W62" s="121"/>
      <c r="X62" s="121"/>
      <c r="Y62" s="103"/>
      <c r="Z62" s="103"/>
      <c r="AA62" s="103"/>
      <c r="AB62" s="103"/>
      <c r="AC62" s="103"/>
      <c r="AD62" s="103"/>
      <c r="AE62" s="103"/>
      <c r="AF62" s="103"/>
      <c r="AG62" s="103"/>
      <c r="AH62" s="103"/>
      <c r="AI62" s="103"/>
      <c r="AJ62" s="103"/>
      <c r="AK62" s="103"/>
      <c r="AL62" s="103"/>
      <c r="AM62" s="103"/>
      <c r="AN62" s="103"/>
      <c r="AO62" s="103"/>
    </row>
    <row r="63" spans="1:41" x14ac:dyDescent="0.2">
      <c r="A63" s="3"/>
      <c r="B63" s="115"/>
      <c r="C63" s="137" t="s">
        <v>1264</v>
      </c>
      <c r="D63" s="138"/>
      <c r="E63" s="458" t="str">
        <f>Förderungen!H109</f>
        <v>-</v>
      </c>
      <c r="F63" s="458" t="str">
        <f t="shared" si="16"/>
        <v>-</v>
      </c>
      <c r="G63" s="115"/>
      <c r="H63" s="137" t="str">
        <f>IF(Eingabe!$H$37&lt;$D$54,D63,IF(Eingabe!$H$37&lt;=$E$54,E63,IF(Eingabe!$H$37&gt;$E$54,F63,"")))</f>
        <v>-</v>
      </c>
      <c r="I63" s="460">
        <f t="shared" si="17"/>
        <v>0</v>
      </c>
      <c r="J63" s="118"/>
      <c r="K63" s="115"/>
      <c r="L63" s="115"/>
      <c r="M63" s="115"/>
      <c r="P63" s="121"/>
      <c r="Q63" s="121"/>
      <c r="R63" s="121"/>
      <c r="S63" s="121"/>
      <c r="T63" s="121"/>
      <c r="U63" s="121"/>
      <c r="V63" s="121"/>
      <c r="W63" s="121"/>
      <c r="X63" s="121"/>
      <c r="Y63" s="103"/>
      <c r="Z63" s="103"/>
      <c r="AA63" s="103"/>
      <c r="AB63" s="103"/>
      <c r="AC63" s="103"/>
      <c r="AD63" s="103"/>
      <c r="AE63" s="103"/>
      <c r="AF63" s="103"/>
      <c r="AG63" s="103"/>
      <c r="AH63" s="103"/>
      <c r="AI63" s="103"/>
      <c r="AJ63" s="103"/>
      <c r="AK63" s="103"/>
      <c r="AL63" s="103"/>
      <c r="AM63" s="103"/>
      <c r="AN63" s="103"/>
      <c r="AO63" s="103"/>
    </row>
    <row r="64" spans="1:41" x14ac:dyDescent="0.2">
      <c r="A64" s="3"/>
      <c r="B64" s="115"/>
      <c r="C64" s="115"/>
      <c r="D64" s="115"/>
      <c r="E64" s="115"/>
      <c r="F64" s="115"/>
      <c r="G64" s="115"/>
      <c r="H64" s="459">
        <f>SUM(I55:I63)</f>
        <v>0</v>
      </c>
      <c r="I64" s="118"/>
      <c r="J64" s="118"/>
      <c r="K64" s="115"/>
      <c r="L64" s="115"/>
      <c r="M64" s="115"/>
      <c r="P64" s="121"/>
      <c r="Q64" s="121"/>
      <c r="R64" s="121"/>
      <c r="S64" s="121"/>
      <c r="T64" s="121"/>
      <c r="U64" s="121"/>
      <c r="V64" s="121"/>
      <c r="W64" s="121"/>
      <c r="X64" s="121"/>
      <c r="Y64" s="103"/>
      <c r="Z64" s="103"/>
      <c r="AA64" s="103"/>
      <c r="AB64" s="103"/>
      <c r="AC64" s="103"/>
      <c r="AD64" s="103"/>
      <c r="AE64" s="103"/>
      <c r="AF64" s="103"/>
      <c r="AG64" s="103"/>
      <c r="AH64" s="103"/>
      <c r="AI64" s="103"/>
      <c r="AJ64" s="103"/>
      <c r="AK64" s="103"/>
      <c r="AL64" s="103"/>
      <c r="AM64" s="103"/>
      <c r="AN64" s="103"/>
      <c r="AO64" s="103"/>
    </row>
    <row r="65" spans="2:24" s="3" customFormat="1" x14ac:dyDescent="0.2">
      <c r="B65" s="115"/>
      <c r="C65" s="115"/>
      <c r="D65" s="115"/>
      <c r="E65" s="115"/>
      <c r="F65" s="115"/>
      <c r="G65" s="115"/>
      <c r="H65" s="118"/>
      <c r="I65" s="118"/>
      <c r="J65" s="118"/>
      <c r="K65" s="115"/>
      <c r="L65" s="115"/>
      <c r="M65" s="115"/>
      <c r="N65" s="115"/>
      <c r="O65" s="115"/>
      <c r="P65" s="121"/>
      <c r="Q65" s="115"/>
      <c r="R65" s="115"/>
      <c r="S65" s="115"/>
      <c r="T65" s="115"/>
      <c r="U65" s="115"/>
      <c r="V65" s="115"/>
      <c r="W65" s="115"/>
      <c r="X65" s="115"/>
    </row>
    <row r="66" spans="2:24" s="3" customFormat="1" x14ac:dyDescent="0.2">
      <c r="B66" s="115"/>
      <c r="C66" s="115"/>
      <c r="D66" s="115"/>
      <c r="E66" s="118"/>
      <c r="F66" s="115"/>
      <c r="G66" s="115"/>
      <c r="H66" s="118"/>
      <c r="I66" s="118"/>
      <c r="J66" s="118"/>
      <c r="K66" s="115"/>
      <c r="L66" s="115"/>
      <c r="M66" s="115"/>
      <c r="N66" s="115"/>
      <c r="O66" s="115"/>
      <c r="P66" s="121"/>
      <c r="Q66" s="115"/>
      <c r="R66" s="115"/>
      <c r="S66" s="115"/>
      <c r="T66" s="115"/>
      <c r="U66" s="115"/>
      <c r="V66" s="115"/>
      <c r="W66" s="115"/>
      <c r="X66" s="115"/>
    </row>
    <row r="67" spans="2:24" s="3" customFormat="1" x14ac:dyDescent="0.2">
      <c r="B67" s="115"/>
      <c r="C67" s="115"/>
      <c r="D67" s="115"/>
      <c r="E67" s="118"/>
      <c r="F67" s="115"/>
      <c r="G67" s="115"/>
      <c r="H67" s="118"/>
      <c r="I67" s="118"/>
      <c r="J67" s="118"/>
      <c r="K67" s="115"/>
      <c r="L67" s="115"/>
      <c r="M67" s="115"/>
      <c r="N67" s="115"/>
      <c r="O67" s="115"/>
      <c r="P67" s="121"/>
      <c r="Q67" s="115"/>
      <c r="R67" s="115"/>
      <c r="S67" s="115"/>
      <c r="T67" s="115"/>
      <c r="U67" s="115"/>
      <c r="V67" s="115"/>
      <c r="W67" s="115"/>
      <c r="X67" s="115"/>
    </row>
    <row r="68" spans="2:24" s="3" customFormat="1" x14ac:dyDescent="0.2">
      <c r="B68" s="115"/>
      <c r="C68" s="115"/>
      <c r="D68" s="115"/>
      <c r="E68" s="118"/>
      <c r="F68" s="115"/>
      <c r="G68" s="115"/>
      <c r="H68" s="118"/>
      <c r="I68" s="118"/>
      <c r="J68" s="118"/>
      <c r="K68" s="115"/>
      <c r="L68" s="115"/>
      <c r="M68" s="139"/>
      <c r="N68" s="139"/>
      <c r="O68" s="115"/>
      <c r="P68" s="121"/>
      <c r="Q68" s="115"/>
      <c r="R68" s="115"/>
      <c r="S68" s="115"/>
      <c r="T68" s="115"/>
      <c r="U68" s="115"/>
      <c r="V68" s="115"/>
      <c r="W68" s="115"/>
      <c r="X68" s="115"/>
    </row>
    <row r="69" spans="2:24" s="3" customFormat="1" x14ac:dyDescent="0.2">
      <c r="B69" s="115"/>
      <c r="C69" s="115"/>
      <c r="D69" s="115"/>
      <c r="E69" s="118"/>
      <c r="F69" s="115"/>
      <c r="G69" s="115"/>
      <c r="H69" s="118"/>
      <c r="I69" s="118"/>
      <c r="J69" s="118"/>
      <c r="K69" s="115"/>
      <c r="L69" s="115"/>
      <c r="M69" s="115"/>
      <c r="N69" s="115"/>
      <c r="O69" s="115"/>
      <c r="P69" s="121"/>
      <c r="Q69" s="115"/>
      <c r="R69" s="115"/>
      <c r="S69" s="115"/>
      <c r="T69" s="115"/>
      <c r="U69" s="115"/>
      <c r="V69" s="115"/>
      <c r="W69" s="115"/>
      <c r="X69" s="115"/>
    </row>
    <row r="70" spans="2:24" s="3" customFormat="1" x14ac:dyDescent="0.2">
      <c r="B70" s="139" t="s">
        <v>2297</v>
      </c>
      <c r="C70" s="115"/>
      <c r="D70" s="115"/>
      <c r="E70" s="118"/>
      <c r="F70" s="115"/>
      <c r="G70" s="115"/>
      <c r="H70" s="118"/>
      <c r="I70" s="118"/>
      <c r="J70" s="115"/>
      <c r="K70" s="137" t="s">
        <v>1264</v>
      </c>
      <c r="L70" s="115"/>
      <c r="M70" s="115"/>
      <c r="N70" s="115"/>
      <c r="O70" s="137"/>
      <c r="P70" s="432"/>
      <c r="Q70" s="115"/>
      <c r="R70" s="115"/>
      <c r="S70" s="115"/>
      <c r="T70" s="115"/>
      <c r="U70" s="115"/>
      <c r="V70" s="115"/>
      <c r="W70" s="115"/>
      <c r="X70" s="115"/>
    </row>
    <row r="71" spans="2:24" s="3" customFormat="1" x14ac:dyDescent="0.2">
      <c r="B71" s="137"/>
      <c r="C71" s="115"/>
      <c r="D71" s="115"/>
      <c r="E71" s="118"/>
      <c r="F71" s="115"/>
      <c r="G71" s="115"/>
      <c r="H71" s="118"/>
      <c r="I71" s="118"/>
      <c r="J71" s="115"/>
      <c r="K71" s="138" t="str">
        <f>IF($C$6=B73,$D$63,"")</f>
        <v/>
      </c>
      <c r="L71" s="115"/>
      <c r="M71" s="115"/>
      <c r="N71" s="115"/>
      <c r="O71" s="117"/>
      <c r="P71" s="432"/>
      <c r="Q71" s="115"/>
      <c r="R71" s="115"/>
      <c r="S71" s="115"/>
      <c r="T71" s="115"/>
      <c r="U71" s="115"/>
      <c r="V71" s="115"/>
      <c r="W71" s="115"/>
      <c r="X71" s="115"/>
    </row>
    <row r="72" spans="2:24" s="3" customFormat="1" x14ac:dyDescent="0.2">
      <c r="B72" s="137" t="s">
        <v>2166</v>
      </c>
      <c r="C72" s="137" t="s">
        <v>1806</v>
      </c>
      <c r="D72" s="137" t="s">
        <v>1476</v>
      </c>
      <c r="E72" s="461" t="s">
        <v>1281</v>
      </c>
      <c r="F72" s="137" t="s">
        <v>520</v>
      </c>
      <c r="G72" s="137" t="s">
        <v>669</v>
      </c>
      <c r="H72" s="461" t="s">
        <v>2582</v>
      </c>
      <c r="I72" s="461" t="s">
        <v>871</v>
      </c>
      <c r="J72" s="137" t="s">
        <v>1075</v>
      </c>
      <c r="K72" s="138" t="str">
        <f>IF($C$6=B74,$D$63,"")</f>
        <v/>
      </c>
      <c r="L72" s="115"/>
      <c r="M72" s="115"/>
      <c r="N72" s="115"/>
      <c r="O72" s="117"/>
      <c r="P72" s="432"/>
      <c r="Q72" s="115"/>
      <c r="R72" s="115"/>
      <c r="S72" s="115"/>
      <c r="T72" s="115"/>
      <c r="U72" s="115"/>
      <c r="V72" s="115"/>
      <c r="W72" s="115"/>
      <c r="X72" s="115"/>
    </row>
    <row r="73" spans="2:24" s="3" customFormat="1" x14ac:dyDescent="0.2">
      <c r="B73" s="137">
        <v>1</v>
      </c>
      <c r="C73" s="138" t="str">
        <f>IF($C$6=B73,$D$55,"")</f>
        <v/>
      </c>
      <c r="D73" s="138" t="str">
        <f>IF($C$6=B73,$D$56,"")</f>
        <v/>
      </c>
      <c r="E73" s="138" t="str">
        <f>IF($C$6=B73,$D$57,"")</f>
        <v/>
      </c>
      <c r="F73" s="138" t="str">
        <f>IF($C$6=B73,$D$58,"")</f>
        <v/>
      </c>
      <c r="G73" s="138" t="str">
        <f>IF($C$6=B73,$D$59,"")</f>
        <v/>
      </c>
      <c r="H73" s="138" t="str">
        <f>IF($C$6=B73,$D$60,"")</f>
        <v/>
      </c>
      <c r="I73" s="138" t="str">
        <f>IF($C$6=B73,$D$61,"")</f>
        <v/>
      </c>
      <c r="J73" s="138" t="str">
        <f>IF($C$6=B73,$D$62,"")</f>
        <v/>
      </c>
      <c r="K73" s="138" t="str">
        <f>IF($C$6=B75,$D$63,"")</f>
        <v/>
      </c>
      <c r="L73" s="115"/>
      <c r="M73" s="115"/>
      <c r="N73" s="115"/>
      <c r="O73" s="117"/>
      <c r="P73" s="432"/>
      <c r="Q73" s="115"/>
      <c r="R73" s="115"/>
      <c r="S73" s="115"/>
      <c r="T73" s="115"/>
      <c r="U73" s="115"/>
      <c r="V73" s="115"/>
      <c r="W73" s="115"/>
      <c r="X73" s="115"/>
    </row>
    <row r="74" spans="2:24" s="3" customFormat="1" x14ac:dyDescent="0.2">
      <c r="B74" s="137">
        <v>2</v>
      </c>
      <c r="C74" s="138" t="str">
        <f>IF($C$6=B74,$D$55,"")</f>
        <v/>
      </c>
      <c r="D74" s="138" t="str">
        <f>IF($C$6=B74,$D$56,"")</f>
        <v/>
      </c>
      <c r="E74" s="138" t="str">
        <f>IF($C$6=B74,$D$57,"")</f>
        <v/>
      </c>
      <c r="F74" s="138" t="str">
        <f>IF($C$6=B74,$D$58,"")</f>
        <v/>
      </c>
      <c r="G74" s="138" t="str">
        <f>IF($C$6=B74,$D$59,"")</f>
        <v/>
      </c>
      <c r="H74" s="138" t="str">
        <f>IF($C$6=B74,$D$60,"")</f>
        <v/>
      </c>
      <c r="I74" s="138" t="str">
        <f>IF($C$6=B74,$D$61,"")</f>
        <v/>
      </c>
      <c r="J74" s="138" t="str">
        <f>IF($C$6=B74,$D$62,"")</f>
        <v/>
      </c>
      <c r="K74" s="138" t="str">
        <f>IF($C$6=B76,$D$63,"")</f>
        <v/>
      </c>
      <c r="L74" s="115"/>
      <c r="M74" s="115"/>
      <c r="N74" s="115"/>
      <c r="O74" s="117"/>
      <c r="P74" s="432"/>
      <c r="Q74" s="115"/>
      <c r="R74" s="115"/>
      <c r="S74" s="115"/>
      <c r="T74" s="115"/>
      <c r="U74" s="115"/>
      <c r="V74" s="115"/>
      <c r="W74" s="115"/>
      <c r="X74" s="115"/>
    </row>
    <row r="75" spans="2:24" s="3" customFormat="1" x14ac:dyDescent="0.2">
      <c r="B75" s="137">
        <v>3</v>
      </c>
      <c r="C75" s="138" t="str">
        <f>IF($C$6=B75,$D$55,"")</f>
        <v/>
      </c>
      <c r="D75" s="138" t="str">
        <f>IF($C$6=B75,$D$56,"")</f>
        <v/>
      </c>
      <c r="E75" s="138" t="str">
        <f>IF($C$6=B75,$D$57,"")</f>
        <v/>
      </c>
      <c r="F75" s="138" t="str">
        <f>IF($C$6=B75,$D$58,"")</f>
        <v/>
      </c>
      <c r="G75" s="138" t="str">
        <f>IF($C$6=B75,$D$59,"")</f>
        <v/>
      </c>
      <c r="H75" s="138" t="str">
        <f>IF($C$6=B75,$D$60,"")</f>
        <v/>
      </c>
      <c r="I75" s="138" t="str">
        <f>IF($C$6=B75,$D$61,"")</f>
        <v/>
      </c>
      <c r="J75" s="138" t="str">
        <f>IF($C$6=B75,$D$62,"")</f>
        <v/>
      </c>
      <c r="K75" s="138" t="str">
        <f>IF($C$6=B77,$E$63,"")</f>
        <v/>
      </c>
      <c r="L75" s="115"/>
      <c r="M75" s="115"/>
      <c r="N75" s="115"/>
      <c r="O75" s="117"/>
      <c r="P75" s="432"/>
      <c r="Q75" s="115"/>
      <c r="R75" s="115"/>
      <c r="S75" s="115"/>
      <c r="T75" s="115"/>
      <c r="U75" s="115"/>
      <c r="V75" s="115"/>
      <c r="W75" s="115"/>
      <c r="X75" s="115"/>
    </row>
    <row r="76" spans="2:24" s="3" customFormat="1" x14ac:dyDescent="0.2">
      <c r="B76" s="137">
        <v>4</v>
      </c>
      <c r="C76" s="138" t="str">
        <f>IF($C$6=B76,$D$55,"")</f>
        <v/>
      </c>
      <c r="D76" s="138" t="str">
        <f>IF($C$6=B76,$D$56,"")</f>
        <v/>
      </c>
      <c r="E76" s="138" t="str">
        <f>IF($C$6=B76,$D$57,"")</f>
        <v/>
      </c>
      <c r="F76" s="138" t="str">
        <f>IF($C$6=B76,$D$58,"")</f>
        <v/>
      </c>
      <c r="G76" s="138" t="str">
        <f>IF($C$6=B76,$D$59,"")</f>
        <v/>
      </c>
      <c r="H76" s="138" t="str">
        <f>IF($C$6=B76,$D$60,"")</f>
        <v/>
      </c>
      <c r="I76" s="138" t="str">
        <f>IF($C$6=B76,$D$61,"")</f>
        <v/>
      </c>
      <c r="J76" s="138" t="str">
        <f>IF($C$6=B76,$D$62,"")</f>
        <v/>
      </c>
      <c r="K76" s="138" t="str">
        <f>IF($C$6=B78,$E$63,"")</f>
        <v/>
      </c>
      <c r="L76" s="115"/>
      <c r="M76" s="115"/>
      <c r="N76" s="115"/>
      <c r="O76" s="117"/>
      <c r="P76" s="117"/>
      <c r="Q76" s="115"/>
      <c r="R76" s="115"/>
      <c r="S76" s="115"/>
      <c r="T76" s="115"/>
      <c r="U76" s="115"/>
      <c r="V76" s="115"/>
      <c r="W76" s="115"/>
      <c r="X76" s="115"/>
    </row>
    <row r="77" spans="2:24" s="3" customFormat="1" x14ac:dyDescent="0.2">
      <c r="B77" s="137">
        <v>5.01</v>
      </c>
      <c r="C77" s="138" t="str">
        <f>IF($C$6&lt;$B$77,$E$55,"")</f>
        <v/>
      </c>
      <c r="D77" s="138" t="str">
        <f>IF($C$6=B77,$E$56,"")</f>
        <v/>
      </c>
      <c r="E77" s="138" t="str">
        <f>IF($C$6=B77,$E$57,"")</f>
        <v/>
      </c>
      <c r="F77" s="138" t="str">
        <f>IF($C$6=B77,$E$58,"")</f>
        <v/>
      </c>
      <c r="G77" s="138" t="str">
        <f>IF($C$6=B77,$E$59,"")</f>
        <v/>
      </c>
      <c r="H77" s="138" t="str">
        <f>IF($C$6=B77,$E$60,"")</f>
        <v/>
      </c>
      <c r="I77" s="138" t="str">
        <f>IF($C$6=B77,$E$61,"")</f>
        <v/>
      </c>
      <c r="J77" s="138" t="str">
        <f>IF($C$6=B77,$E$62,"")</f>
        <v/>
      </c>
      <c r="K77" s="138" t="str">
        <f>IF($C$6=B79,$E$63,"")</f>
        <v/>
      </c>
      <c r="L77" s="115"/>
      <c r="M77" s="115"/>
      <c r="N77" s="115"/>
      <c r="O77" s="117"/>
      <c r="P77" s="117"/>
      <c r="Q77" s="115"/>
      <c r="R77" s="115"/>
      <c r="S77" s="115"/>
      <c r="T77" s="115"/>
      <c r="U77" s="115"/>
      <c r="V77" s="115"/>
      <c r="W77" s="115"/>
      <c r="X77" s="115"/>
    </row>
    <row r="78" spans="2:24" s="3" customFormat="1" x14ac:dyDescent="0.2">
      <c r="B78" s="137">
        <v>6</v>
      </c>
      <c r="C78" s="138" t="str">
        <f>IF($C$6=B78,$E$55,"")</f>
        <v/>
      </c>
      <c r="D78" s="138" t="str">
        <f>IF($C$6=B78,$E$56,"")</f>
        <v/>
      </c>
      <c r="E78" s="138" t="str">
        <f>IF($C$6=B78,$E$57,"")</f>
        <v/>
      </c>
      <c r="F78" s="138" t="str">
        <f>IF($C$6=B78,$E$58,"")</f>
        <v/>
      </c>
      <c r="G78" s="138" t="str">
        <f>IF($C$6=B78,$E$59,"")</f>
        <v/>
      </c>
      <c r="H78" s="138" t="str">
        <f>IF($C$6=B78,$E$60,"")</f>
        <v/>
      </c>
      <c r="I78" s="138" t="str">
        <f>IF($C$6=B78,$E$61,"")</f>
        <v/>
      </c>
      <c r="J78" s="138" t="str">
        <f>IF($C$6=B78,$E$62,"")</f>
        <v/>
      </c>
      <c r="K78" s="138" t="str">
        <f>IF($C$6=B80,$E$63,"")</f>
        <v/>
      </c>
      <c r="L78" s="115"/>
      <c r="M78" s="115"/>
      <c r="N78" s="115"/>
      <c r="O78" s="117"/>
      <c r="P78" s="117"/>
      <c r="Q78" s="115"/>
      <c r="R78" s="115"/>
      <c r="S78" s="115"/>
      <c r="T78" s="115"/>
      <c r="U78" s="115"/>
      <c r="V78" s="115"/>
      <c r="W78" s="115"/>
      <c r="X78" s="115"/>
    </row>
    <row r="79" spans="2:24" s="3" customFormat="1" x14ac:dyDescent="0.2">
      <c r="B79" s="137">
        <v>7</v>
      </c>
      <c r="C79" s="138" t="str">
        <f>IF($C$6=B79,$E$55,"")</f>
        <v/>
      </c>
      <c r="D79" s="138" t="str">
        <f>IF($C$6=B79,$E$56,"")</f>
        <v/>
      </c>
      <c r="E79" s="138" t="str">
        <f>IF($C$6=B79,$E$57,"")</f>
        <v/>
      </c>
      <c r="F79" s="138" t="str">
        <f>IF($C$6=B79,$E$58,"")</f>
        <v/>
      </c>
      <c r="G79" s="138" t="str">
        <f>IF($C$6=B79,$E$59,"")</f>
        <v/>
      </c>
      <c r="H79" s="138" t="str">
        <f>IF($C$6=B79,$E$60,"")</f>
        <v/>
      </c>
      <c r="I79" s="138" t="str">
        <f>IF($C$6=B79,$E$61,"")</f>
        <v/>
      </c>
      <c r="J79" s="138" t="str">
        <f>IF($C$6=B79,$E$62,"")</f>
        <v/>
      </c>
      <c r="K79" s="138" t="str">
        <f>IF($C$6=B81,$E$63,"")</f>
        <v/>
      </c>
      <c r="L79" s="115"/>
      <c r="M79" s="115"/>
      <c r="N79" s="115"/>
      <c r="O79" s="117"/>
      <c r="P79" s="117"/>
      <c r="Q79" s="115"/>
      <c r="R79" s="115"/>
      <c r="S79" s="115"/>
      <c r="T79" s="115"/>
      <c r="U79" s="115"/>
      <c r="V79" s="115"/>
      <c r="W79" s="115"/>
      <c r="X79" s="115"/>
    </row>
    <row r="80" spans="2:24" s="3" customFormat="1" x14ac:dyDescent="0.2">
      <c r="B80" s="137">
        <v>8</v>
      </c>
      <c r="C80" s="138" t="str">
        <f>IF($C$6=B80,$E$55,"")</f>
        <v/>
      </c>
      <c r="D80" s="138" t="str">
        <f>IF($C$6=B80,$E$56,"")</f>
        <v/>
      </c>
      <c r="E80" s="138" t="str">
        <f>IF($C$6=B80,$E$57,"")</f>
        <v/>
      </c>
      <c r="F80" s="138" t="str">
        <f>IF($C$6=B80,$E$58,"")</f>
        <v/>
      </c>
      <c r="G80" s="138" t="str">
        <f>IF($C$6=B80,$E$59,"")</f>
        <v/>
      </c>
      <c r="H80" s="138" t="str">
        <f>IF($C$6=B80,$E$60,"")</f>
        <v/>
      </c>
      <c r="I80" s="138" t="str">
        <f>IF($C$6=B80,$E$61,"")</f>
        <v/>
      </c>
      <c r="J80" s="138" t="str">
        <f>IF($C$6=B80,$E$62,"")</f>
        <v/>
      </c>
      <c r="K80" s="138" t="str">
        <f t="shared" ref="K80:K85" si="18">IF($C$6=B82,$F$63,"")</f>
        <v/>
      </c>
      <c r="L80" s="115"/>
      <c r="M80" s="115"/>
      <c r="N80" s="115"/>
      <c r="O80" s="117"/>
      <c r="P80" s="117"/>
      <c r="Q80" s="115"/>
      <c r="R80" s="115"/>
      <c r="S80" s="115"/>
      <c r="T80" s="115"/>
      <c r="U80" s="115"/>
      <c r="V80" s="115"/>
      <c r="W80" s="115"/>
      <c r="X80" s="115"/>
    </row>
    <row r="81" spans="2:24" s="3" customFormat="1" x14ac:dyDescent="0.2">
      <c r="B81" s="137">
        <v>9</v>
      </c>
      <c r="C81" s="138" t="str">
        <f>IF($C$6=B81,$E$55,"")</f>
        <v/>
      </c>
      <c r="D81" s="138" t="str">
        <f>IF($C$6=B81,$E$56,"")</f>
        <v/>
      </c>
      <c r="E81" s="138" t="str">
        <f>IF($C$6=B81,$E$57,"")</f>
        <v/>
      </c>
      <c r="F81" s="138" t="str">
        <f>IF($C$6=B81,$E$58,"")</f>
        <v/>
      </c>
      <c r="G81" s="138" t="str">
        <f>IF($C$6=B81,$E$59,"")</f>
        <v/>
      </c>
      <c r="H81" s="138" t="str">
        <f>IF($C$6=B81,$E$60,"")</f>
        <v/>
      </c>
      <c r="I81" s="138" t="str">
        <f>IF($C$6=B81,$E$61,"")</f>
        <v/>
      </c>
      <c r="J81" s="138" t="str">
        <f>IF($C$6=B81,$E$62,"")</f>
        <v/>
      </c>
      <c r="K81" s="138" t="str">
        <f t="shared" si="18"/>
        <v/>
      </c>
      <c r="L81" s="115"/>
      <c r="M81" s="115"/>
      <c r="N81" s="115"/>
      <c r="O81" s="137"/>
      <c r="P81" s="117"/>
      <c r="Q81" s="115"/>
      <c r="R81" s="115"/>
      <c r="S81" s="115"/>
      <c r="T81" s="115"/>
      <c r="U81" s="115"/>
      <c r="V81" s="115"/>
      <c r="W81" s="115"/>
      <c r="X81" s="115"/>
    </row>
    <row r="82" spans="2:24" s="3" customFormat="1" x14ac:dyDescent="0.2">
      <c r="B82" s="137">
        <v>10.01</v>
      </c>
      <c r="C82" s="138" t="str">
        <f t="shared" ref="C82:C87" si="19">IF($C$6=B82,$F$55,"")</f>
        <v/>
      </c>
      <c r="D82" s="138" t="str">
        <f t="shared" ref="D82:D87" si="20">IF($C$6=B82,$F$56,"")</f>
        <v/>
      </c>
      <c r="E82" s="138" t="str">
        <f t="shared" ref="E82:E87" si="21">IF($C$6=B82,$F$57,"")</f>
        <v/>
      </c>
      <c r="F82" s="138" t="str">
        <f t="shared" ref="F82:F87" si="22">IF($C$6=B82,$F$58,"")</f>
        <v/>
      </c>
      <c r="G82" s="138" t="str">
        <f t="shared" ref="G82:G87" si="23">IF($C$6=B82,$F$59,"")</f>
        <v/>
      </c>
      <c r="H82" s="138" t="str">
        <f t="shared" ref="H82:H87" si="24">IF($C$6=B82,$F$60,"")</f>
        <v/>
      </c>
      <c r="I82" s="138" t="str">
        <f t="shared" ref="I82:I87" si="25">IF($C$6=B82,$F$61,"")</f>
        <v/>
      </c>
      <c r="J82" s="138" t="str">
        <f t="shared" ref="J82:J87" si="26">IF($C$6=B82,$F$62,"")</f>
        <v/>
      </c>
      <c r="K82" s="138" t="str">
        <f t="shared" si="18"/>
        <v/>
      </c>
      <c r="L82" s="115"/>
      <c r="M82" s="115"/>
      <c r="N82" s="115"/>
      <c r="O82" s="137"/>
      <c r="P82" s="117"/>
      <c r="Q82" s="115"/>
      <c r="R82" s="115"/>
      <c r="S82" s="115"/>
      <c r="T82" s="115"/>
      <c r="U82" s="115"/>
      <c r="V82" s="115"/>
      <c r="W82" s="115"/>
      <c r="X82" s="115"/>
    </row>
    <row r="83" spans="2:24" s="3" customFormat="1" x14ac:dyDescent="0.2">
      <c r="B83" s="137">
        <v>11</v>
      </c>
      <c r="C83" s="138" t="str">
        <f t="shared" si="19"/>
        <v/>
      </c>
      <c r="D83" s="138" t="str">
        <f t="shared" si="20"/>
        <v/>
      </c>
      <c r="E83" s="138" t="str">
        <f t="shared" si="21"/>
        <v/>
      </c>
      <c r="F83" s="138" t="str">
        <f t="shared" si="22"/>
        <v/>
      </c>
      <c r="G83" s="138" t="str">
        <f t="shared" si="23"/>
        <v/>
      </c>
      <c r="H83" s="138" t="str">
        <f t="shared" si="24"/>
        <v/>
      </c>
      <c r="I83" s="138" t="str">
        <f t="shared" si="25"/>
        <v/>
      </c>
      <c r="J83" s="138" t="str">
        <f t="shared" si="26"/>
        <v/>
      </c>
      <c r="K83" s="138" t="str">
        <f t="shared" si="18"/>
        <v/>
      </c>
      <c r="L83" s="115"/>
      <c r="M83" s="115"/>
      <c r="N83" s="115"/>
      <c r="O83" s="115"/>
      <c r="P83" s="117"/>
      <c r="Q83" s="115"/>
      <c r="R83" s="115"/>
      <c r="S83" s="115"/>
      <c r="T83" s="115"/>
      <c r="U83" s="115"/>
      <c r="V83" s="115"/>
      <c r="W83" s="115"/>
      <c r="X83" s="115"/>
    </row>
    <row r="84" spans="2:24" s="3" customFormat="1" x14ac:dyDescent="0.2">
      <c r="B84" s="137">
        <v>12</v>
      </c>
      <c r="C84" s="138" t="str">
        <f t="shared" si="19"/>
        <v/>
      </c>
      <c r="D84" s="138" t="str">
        <f t="shared" si="20"/>
        <v/>
      </c>
      <c r="E84" s="138" t="str">
        <f t="shared" si="21"/>
        <v/>
      </c>
      <c r="F84" s="138" t="str">
        <f t="shared" si="22"/>
        <v/>
      </c>
      <c r="G84" s="138" t="str">
        <f t="shared" si="23"/>
        <v/>
      </c>
      <c r="H84" s="138" t="str">
        <f t="shared" si="24"/>
        <v/>
      </c>
      <c r="I84" s="138" t="str">
        <f t="shared" si="25"/>
        <v/>
      </c>
      <c r="J84" s="138" t="str">
        <f t="shared" si="26"/>
        <v/>
      </c>
      <c r="K84" s="138" t="str">
        <f t="shared" si="18"/>
        <v/>
      </c>
      <c r="L84" s="115"/>
      <c r="M84" s="115"/>
      <c r="N84" s="115"/>
      <c r="O84" s="115"/>
      <c r="P84" s="115"/>
      <c r="Q84" s="115"/>
      <c r="R84" s="115"/>
      <c r="S84" s="115"/>
      <c r="T84" s="115"/>
      <c r="U84" s="115"/>
      <c r="V84" s="115"/>
      <c r="W84" s="115"/>
      <c r="X84" s="115"/>
    </row>
    <row r="85" spans="2:24" s="3" customFormat="1" x14ac:dyDescent="0.2">
      <c r="B85" s="137">
        <v>13</v>
      </c>
      <c r="C85" s="138" t="str">
        <f t="shared" si="19"/>
        <v/>
      </c>
      <c r="D85" s="138" t="str">
        <f t="shared" si="20"/>
        <v/>
      </c>
      <c r="E85" s="138" t="str">
        <f t="shared" si="21"/>
        <v/>
      </c>
      <c r="F85" s="138" t="str">
        <f t="shared" si="22"/>
        <v/>
      </c>
      <c r="G85" s="138" t="str">
        <f t="shared" si="23"/>
        <v/>
      </c>
      <c r="H85" s="138" t="str">
        <f t="shared" si="24"/>
        <v/>
      </c>
      <c r="I85" s="138" t="str">
        <f t="shared" si="25"/>
        <v/>
      </c>
      <c r="J85" s="138" t="str">
        <f t="shared" si="26"/>
        <v/>
      </c>
      <c r="K85" s="138" t="str">
        <f t="shared" si="18"/>
        <v>-</v>
      </c>
      <c r="L85" s="115"/>
      <c r="M85" s="115"/>
      <c r="N85" s="115"/>
      <c r="O85" s="115"/>
      <c r="P85" s="115"/>
      <c r="Q85" s="115"/>
      <c r="R85" s="115"/>
      <c r="S85" s="115"/>
      <c r="T85" s="115"/>
      <c r="U85" s="115"/>
      <c r="V85" s="115"/>
      <c r="W85" s="115"/>
      <c r="X85" s="115"/>
    </row>
    <row r="86" spans="2:24" s="3" customFormat="1" x14ac:dyDescent="0.2">
      <c r="B86" s="137">
        <v>14</v>
      </c>
      <c r="C86" s="138" t="str">
        <f t="shared" si="19"/>
        <v/>
      </c>
      <c r="D86" s="138" t="str">
        <f t="shared" si="20"/>
        <v/>
      </c>
      <c r="E86" s="138" t="str">
        <f t="shared" si="21"/>
        <v/>
      </c>
      <c r="F86" s="138" t="str">
        <f t="shared" si="22"/>
        <v/>
      </c>
      <c r="G86" s="138" t="str">
        <f t="shared" si="23"/>
        <v/>
      </c>
      <c r="H86" s="138" t="str">
        <f t="shared" si="24"/>
        <v/>
      </c>
      <c r="I86" s="138" t="str">
        <f t="shared" si="25"/>
        <v/>
      </c>
      <c r="J86" s="138" t="str">
        <f t="shared" si="26"/>
        <v/>
      </c>
      <c r="K86" s="138">
        <f>SUM(K71:K85)</f>
        <v>0</v>
      </c>
      <c r="L86" s="119"/>
      <c r="M86" s="115"/>
      <c r="N86" s="115"/>
      <c r="O86" s="115"/>
      <c r="P86" s="115"/>
      <c r="Q86" s="115"/>
      <c r="R86" s="115"/>
      <c r="S86" s="115"/>
      <c r="T86" s="115"/>
      <c r="U86" s="115"/>
      <c r="V86" s="115"/>
      <c r="W86" s="115"/>
      <c r="X86" s="115"/>
    </row>
    <row r="87" spans="2:24" s="3" customFormat="1" x14ac:dyDescent="0.2">
      <c r="B87" s="137">
        <v>15</v>
      </c>
      <c r="C87" s="138" t="str">
        <f t="shared" si="19"/>
        <v>-</v>
      </c>
      <c r="D87" s="138" t="str">
        <f t="shared" si="20"/>
        <v>-</v>
      </c>
      <c r="E87" s="138" t="str">
        <f t="shared" si="21"/>
        <v>-</v>
      </c>
      <c r="F87" s="138" t="str">
        <f t="shared" si="22"/>
        <v>-</v>
      </c>
      <c r="G87" s="138" t="str">
        <f t="shared" si="23"/>
        <v>-</v>
      </c>
      <c r="H87" s="138" t="str">
        <f t="shared" si="24"/>
        <v>-</v>
      </c>
      <c r="I87" s="138" t="str">
        <f t="shared" si="25"/>
        <v>-</v>
      </c>
      <c r="J87" s="138" t="str">
        <f t="shared" si="26"/>
        <v>-</v>
      </c>
      <c r="K87" s="138" t="str">
        <f>IF($F$6=K70,K86,"")</f>
        <v/>
      </c>
      <c r="L87" s="138">
        <f>H64</f>
        <v>0</v>
      </c>
      <c r="M87" s="115"/>
      <c r="N87" s="115"/>
      <c r="O87" s="115"/>
      <c r="P87" s="115"/>
      <c r="Q87" s="115"/>
      <c r="R87" s="115"/>
      <c r="S87" s="115"/>
      <c r="T87" s="115"/>
      <c r="U87" s="115"/>
      <c r="V87" s="115"/>
      <c r="W87" s="115"/>
      <c r="X87" s="115"/>
    </row>
    <row r="88" spans="2:24" s="3" customFormat="1" x14ac:dyDescent="0.2">
      <c r="B88" s="117" t="s">
        <v>2299</v>
      </c>
      <c r="C88" s="138">
        <f>SUM(C73:C87)</f>
        <v>0</v>
      </c>
      <c r="D88" s="138">
        <f t="shared" ref="D88:I88" si="27">SUM(D73:D87)</f>
        <v>0</v>
      </c>
      <c r="E88" s="138">
        <f t="shared" si="27"/>
        <v>0</v>
      </c>
      <c r="F88" s="138">
        <f t="shared" si="27"/>
        <v>0</v>
      </c>
      <c r="G88" s="138">
        <f t="shared" si="27"/>
        <v>0</v>
      </c>
      <c r="H88" s="138">
        <f t="shared" si="27"/>
        <v>0</v>
      </c>
      <c r="I88" s="138">
        <f t="shared" si="27"/>
        <v>0</v>
      </c>
      <c r="J88" s="138">
        <f>SUM(J73:J87)</f>
        <v>0</v>
      </c>
      <c r="K88" s="115"/>
      <c r="L88" s="115"/>
      <c r="M88" s="115"/>
      <c r="N88" s="115"/>
      <c r="O88" s="115"/>
      <c r="P88" s="115"/>
      <c r="Q88" s="115"/>
      <c r="R88" s="115"/>
      <c r="S88" s="115"/>
      <c r="T88" s="115"/>
      <c r="U88" s="115"/>
      <c r="V88" s="115"/>
      <c r="W88" s="115"/>
      <c r="X88" s="115"/>
    </row>
    <row r="89" spans="2:24" s="3" customFormat="1" x14ac:dyDescent="0.2">
      <c r="B89" s="117" t="s">
        <v>1259</v>
      </c>
      <c r="C89" s="138" t="str">
        <f>IF($F$6=C72,C88,"")</f>
        <v/>
      </c>
      <c r="D89" s="138" t="str">
        <f t="shared" ref="D89:I89" si="28">IF($F$6=D72,D88,"")</f>
        <v/>
      </c>
      <c r="E89" s="138" t="str">
        <f t="shared" si="28"/>
        <v/>
      </c>
      <c r="F89" s="138">
        <f t="shared" si="28"/>
        <v>0</v>
      </c>
      <c r="G89" s="138" t="str">
        <f t="shared" si="28"/>
        <v/>
      </c>
      <c r="H89" s="138" t="str">
        <f t="shared" si="28"/>
        <v/>
      </c>
      <c r="I89" s="138" t="str">
        <f t="shared" si="28"/>
        <v/>
      </c>
      <c r="J89" s="138" t="str">
        <f>IF($F$6=J72,J88,"")</f>
        <v/>
      </c>
      <c r="K89" s="115"/>
      <c r="L89" s="115"/>
      <c r="M89" s="115"/>
      <c r="N89" s="115"/>
      <c r="O89" s="115"/>
      <c r="P89" s="115"/>
      <c r="Q89" s="115"/>
      <c r="R89" s="115"/>
      <c r="S89" s="115"/>
      <c r="T89" s="115"/>
      <c r="U89" s="115"/>
      <c r="V89" s="115"/>
      <c r="W89" s="115"/>
      <c r="X89" s="115"/>
    </row>
    <row r="90" spans="2:24" s="3" customFormat="1" x14ac:dyDescent="0.2">
      <c r="B90" s="115"/>
      <c r="C90" s="115"/>
      <c r="D90" s="115"/>
      <c r="E90" s="118"/>
      <c r="F90" s="115"/>
      <c r="G90" s="115"/>
      <c r="H90" s="118"/>
      <c r="I90" s="118"/>
      <c r="J90" s="118"/>
      <c r="K90" s="115"/>
      <c r="L90" s="115"/>
      <c r="M90" s="115"/>
      <c r="N90" s="115"/>
      <c r="O90" s="115"/>
      <c r="P90" s="115"/>
      <c r="Q90" s="115"/>
      <c r="R90" s="115"/>
      <c r="S90" s="115"/>
      <c r="T90" s="115"/>
      <c r="U90" s="115"/>
      <c r="V90" s="115"/>
      <c r="W90" s="115"/>
      <c r="X90" s="115"/>
    </row>
    <row r="91" spans="2:24" s="3" customFormat="1" x14ac:dyDescent="0.2">
      <c r="B91" s="115"/>
      <c r="C91" s="115"/>
      <c r="D91" s="115"/>
      <c r="E91" s="115"/>
      <c r="F91" s="115"/>
      <c r="G91" s="115"/>
      <c r="H91" s="118"/>
      <c r="I91" s="118"/>
      <c r="J91" s="118"/>
      <c r="K91" s="115"/>
      <c r="L91" s="115"/>
      <c r="M91" s="115"/>
      <c r="N91" s="115"/>
      <c r="O91" s="115"/>
      <c r="P91" s="115"/>
      <c r="Q91" s="115"/>
      <c r="R91" s="115"/>
      <c r="S91" s="115"/>
      <c r="T91" s="115"/>
      <c r="U91" s="115"/>
      <c r="V91" s="115"/>
      <c r="W91" s="115"/>
      <c r="X91" s="115"/>
    </row>
    <row r="92" spans="2:24" s="3" customFormat="1" x14ac:dyDescent="0.2">
      <c r="B92" s="115"/>
      <c r="C92" s="115"/>
      <c r="D92" s="115"/>
      <c r="E92" s="115"/>
      <c r="F92" s="115"/>
      <c r="G92" s="115"/>
      <c r="H92" s="118"/>
      <c r="I92" s="118"/>
      <c r="J92" s="118"/>
      <c r="K92" s="115"/>
      <c r="L92" s="115"/>
      <c r="M92" s="115"/>
      <c r="N92" s="115"/>
      <c r="O92" s="115"/>
      <c r="P92" s="115"/>
      <c r="Q92" s="115"/>
      <c r="R92" s="115"/>
      <c r="S92" s="115"/>
      <c r="T92" s="115"/>
      <c r="U92" s="115"/>
      <c r="V92" s="115"/>
      <c r="W92" s="115"/>
      <c r="X92" s="115"/>
    </row>
    <row r="93" spans="2:24" s="3" customFormat="1" x14ac:dyDescent="0.2">
      <c r="B93" s="115"/>
      <c r="C93" s="115"/>
      <c r="D93" s="115"/>
      <c r="E93" s="118"/>
      <c r="F93" s="115"/>
      <c r="G93" s="115"/>
      <c r="H93" s="118"/>
      <c r="I93" s="118"/>
      <c r="J93" s="118"/>
      <c r="K93" s="115"/>
      <c r="L93" s="115"/>
      <c r="M93" s="115"/>
      <c r="N93" s="115"/>
      <c r="O93" s="115"/>
      <c r="P93" s="115"/>
      <c r="Q93" s="115"/>
      <c r="R93" s="115"/>
      <c r="S93" s="115"/>
      <c r="T93" s="115"/>
      <c r="U93" s="115"/>
      <c r="V93" s="115"/>
      <c r="W93" s="115"/>
      <c r="X93" s="115"/>
    </row>
    <row r="94" spans="2:24" s="3" customFormat="1" x14ac:dyDescent="0.2">
      <c r="B94" s="115"/>
      <c r="C94" s="115"/>
      <c r="D94" s="115"/>
      <c r="E94" s="118"/>
      <c r="F94" s="115"/>
      <c r="G94" s="115"/>
      <c r="H94" s="118"/>
      <c r="I94" s="118"/>
      <c r="J94" s="118"/>
      <c r="K94" s="115"/>
      <c r="L94" s="115"/>
      <c r="M94" s="115"/>
      <c r="N94" s="115"/>
      <c r="O94" s="115"/>
      <c r="P94" s="115"/>
      <c r="Q94" s="115"/>
      <c r="R94" s="115"/>
      <c r="S94" s="115"/>
      <c r="T94" s="115"/>
      <c r="U94" s="115"/>
      <c r="V94" s="115"/>
      <c r="W94" s="115"/>
      <c r="X94" s="115"/>
    </row>
    <row r="95" spans="2:24" s="3" customFormat="1" x14ac:dyDescent="0.2">
      <c r="B95" s="115"/>
      <c r="C95" s="115"/>
      <c r="D95" s="115"/>
      <c r="E95" s="118"/>
      <c r="F95" s="115"/>
      <c r="G95" s="115"/>
      <c r="H95" s="118"/>
      <c r="I95" s="118"/>
      <c r="J95" s="118"/>
      <c r="K95" s="115"/>
      <c r="L95" s="115"/>
      <c r="M95" s="115"/>
      <c r="N95" s="115"/>
      <c r="O95" s="115"/>
      <c r="P95" s="115"/>
      <c r="Q95" s="115"/>
      <c r="R95" s="115"/>
      <c r="S95" s="115"/>
      <c r="T95" s="115"/>
      <c r="U95" s="115"/>
      <c r="V95" s="115"/>
      <c r="W95" s="115"/>
      <c r="X95" s="115"/>
    </row>
    <row r="96" spans="2:24" s="3" customFormat="1" x14ac:dyDescent="0.2">
      <c r="B96" s="115"/>
      <c r="C96" s="115"/>
      <c r="D96" s="115"/>
      <c r="E96" s="118"/>
      <c r="F96" s="115"/>
      <c r="G96" s="115"/>
      <c r="H96" s="118"/>
      <c r="I96" s="118"/>
      <c r="J96" s="118"/>
      <c r="K96" s="115"/>
      <c r="L96" s="115"/>
      <c r="M96" s="115"/>
      <c r="N96" s="115"/>
      <c r="O96" s="115"/>
      <c r="P96" s="115"/>
      <c r="Q96" s="115"/>
      <c r="R96" s="115"/>
      <c r="S96" s="115"/>
      <c r="T96" s="115"/>
      <c r="U96" s="115"/>
      <c r="V96" s="115"/>
      <c r="W96" s="115"/>
      <c r="X96" s="115"/>
    </row>
    <row r="97" spans="2:13" x14ac:dyDescent="0.2">
      <c r="B97" s="115"/>
      <c r="C97" s="115"/>
      <c r="D97" s="115"/>
      <c r="E97" s="118"/>
      <c r="F97" s="115"/>
      <c r="G97" s="115"/>
      <c r="H97" s="118"/>
      <c r="I97" s="118"/>
      <c r="J97" s="118"/>
      <c r="K97" s="115"/>
      <c r="L97" s="115"/>
      <c r="M97" s="115"/>
    </row>
    <row r="98" spans="2:13" x14ac:dyDescent="0.2">
      <c r="B98" s="115"/>
      <c r="C98" s="115"/>
      <c r="D98" s="115"/>
      <c r="E98" s="118"/>
      <c r="F98" s="115"/>
      <c r="G98" s="115"/>
      <c r="H98" s="118"/>
      <c r="I98" s="118"/>
      <c r="J98" s="118"/>
      <c r="K98" s="89"/>
      <c r="L98" s="89"/>
      <c r="M98" s="89"/>
    </row>
    <row r="99" spans="2:13" x14ac:dyDescent="0.2">
      <c r="B99" s="115"/>
      <c r="C99" s="115"/>
      <c r="D99" s="115"/>
      <c r="E99" s="118"/>
      <c r="F99" s="115"/>
      <c r="G99" s="115"/>
      <c r="H99" s="118"/>
      <c r="I99" s="118"/>
      <c r="J99" s="118"/>
    </row>
    <row r="100" spans="2:13" x14ac:dyDescent="0.2">
      <c r="B100" s="89"/>
      <c r="C100" s="89"/>
      <c r="D100" s="89"/>
      <c r="E100" s="88"/>
      <c r="F100" s="89"/>
      <c r="G100" s="89"/>
      <c r="H100" s="88"/>
      <c r="I100" s="88"/>
      <c r="J100" s="88"/>
    </row>
  </sheetData>
  <sheetProtection algorithmName="SHA-512" hashValue="+gk+UVW2SFzzVJUYff/xkJoYcbjBqFOXZE/ssPD6jrvjmgnV98LEFUEFxVX2QPZRoLX40fi5+xDyAouekd+PTw==" saltValue="e4w5DCChhdooZh7VhFo9jw==" spinCount="100000" sheet="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22"/>
  </sheetPr>
  <dimension ref="A1:AX117"/>
  <sheetViews>
    <sheetView showRowColHeaders="0" zoomScale="80" zoomScaleNormal="80" zoomScaleSheetLayoutView="44" workbookViewId="0">
      <selection activeCell="AF7" sqref="AF7"/>
    </sheetView>
  </sheetViews>
  <sheetFormatPr baseColWidth="10" defaultColWidth="11.28515625" defaultRowHeight="12.75" x14ac:dyDescent="0.2"/>
  <cols>
    <col min="1" max="1" width="1.7109375" style="14" customWidth="1"/>
    <col min="2" max="2" width="11.28515625" style="84"/>
    <col min="3" max="3" width="7.7109375" style="84" customWidth="1"/>
    <col min="4" max="4" width="9.7109375" style="84" customWidth="1"/>
    <col min="5" max="5" width="6.85546875" style="84" bestFit="1" customWidth="1"/>
    <col min="6" max="6" width="10.85546875" style="84" customWidth="1"/>
    <col min="7" max="7" width="14.85546875" style="84" bestFit="1" customWidth="1"/>
    <col min="8" max="8" width="8.7109375" style="84" bestFit="1" customWidth="1"/>
    <col min="9" max="9" width="18" style="84" customWidth="1"/>
    <col min="10" max="10" width="2.7109375" style="84" customWidth="1"/>
    <col min="11" max="12" width="11.28515625" style="84"/>
    <col min="13" max="13" width="11.28515625" style="85"/>
    <col min="14" max="16" width="11.28515625" style="84"/>
    <col min="17" max="17" width="2.7109375" style="84" customWidth="1"/>
    <col min="18" max="18" width="1.7109375" style="14" customWidth="1"/>
    <col min="19" max="19" width="1.7109375" style="14" hidden="1" customWidth="1"/>
    <col min="20" max="27" width="0" style="84" hidden="1" customWidth="1"/>
    <col min="28" max="28" width="1.7109375" style="84" hidden="1" customWidth="1"/>
    <col min="29" max="31" width="1.7109375" style="84" customWidth="1"/>
    <col min="32" max="32" width="34.7109375" style="84" customWidth="1"/>
    <col min="33" max="40" width="11.28515625" style="84"/>
    <col min="41" max="41" width="1.7109375" style="84" customWidth="1"/>
    <col min="42" max="16384" width="11.28515625" style="84"/>
  </cols>
  <sheetData>
    <row r="1" spans="1:50" ht="14.25" customHeight="1" x14ac:dyDescent="0.2">
      <c r="A1" s="101"/>
    </row>
    <row r="2" spans="1:50" ht="14.25" customHeight="1" x14ac:dyDescent="0.2">
      <c r="AK2" s="103"/>
      <c r="AL2" s="103"/>
      <c r="AM2" s="103"/>
      <c r="AN2" s="103"/>
      <c r="AO2" s="103"/>
      <c r="AP2" s="103"/>
      <c r="AQ2" s="103"/>
      <c r="AR2" s="103"/>
      <c r="AS2" s="103"/>
      <c r="AT2" s="103"/>
      <c r="AU2" s="103"/>
      <c r="AV2" s="103"/>
      <c r="AW2" s="103"/>
    </row>
    <row r="3" spans="1:50" ht="15.75" x14ac:dyDescent="0.25">
      <c r="B3" s="267" t="s">
        <v>2438</v>
      </c>
      <c r="C3" s="268"/>
      <c r="D3" s="268"/>
      <c r="E3" s="268"/>
      <c r="F3" s="268"/>
      <c r="G3" s="268"/>
      <c r="H3" s="268"/>
      <c r="I3" s="268"/>
      <c r="J3" s="267" t="s">
        <v>2076</v>
      </c>
      <c r="K3" s="268"/>
      <c r="L3" s="268"/>
      <c r="M3" s="269"/>
      <c r="N3" s="268"/>
      <c r="O3" s="268"/>
      <c r="P3" s="268"/>
      <c r="Q3" s="268"/>
      <c r="R3" s="270"/>
      <c r="S3" s="87" t="s">
        <v>2077</v>
      </c>
      <c r="AD3" s="14"/>
      <c r="AF3" s="81" t="s">
        <v>2733</v>
      </c>
      <c r="AK3" s="103"/>
      <c r="AL3" s="103"/>
      <c r="AM3" s="103"/>
      <c r="AN3" s="103"/>
      <c r="AO3" s="103"/>
      <c r="AP3" s="103"/>
      <c r="AQ3" s="103"/>
      <c r="AR3" s="103"/>
      <c r="AS3" s="103"/>
      <c r="AT3" s="103"/>
      <c r="AU3" s="103"/>
      <c r="AV3" s="103"/>
      <c r="AW3" s="103"/>
    </row>
    <row r="4" spans="1:50" ht="5.0999999999999996" customHeight="1" x14ac:dyDescent="0.2">
      <c r="B4" s="268"/>
      <c r="C4" s="268"/>
      <c r="D4" s="268"/>
      <c r="E4" s="268"/>
      <c r="F4" s="268"/>
      <c r="G4" s="268"/>
      <c r="H4" s="268"/>
      <c r="I4" s="268"/>
      <c r="J4" s="268"/>
      <c r="K4" s="268"/>
      <c r="L4" s="268"/>
      <c r="M4" s="269"/>
      <c r="N4" s="268"/>
      <c r="O4" s="268"/>
      <c r="P4" s="268"/>
      <c r="Q4" s="268"/>
      <c r="R4" s="270"/>
      <c r="AD4" s="14"/>
      <c r="AK4" s="103"/>
      <c r="AL4" s="103"/>
      <c r="AM4" s="103"/>
      <c r="AN4" s="103"/>
      <c r="AO4" s="103"/>
      <c r="AP4" s="103"/>
      <c r="AQ4" s="103"/>
      <c r="AR4" s="103"/>
      <c r="AS4" s="103"/>
      <c r="AT4" s="103"/>
      <c r="AU4" s="103"/>
      <c r="AV4" s="103"/>
      <c r="AW4" s="103"/>
    </row>
    <row r="5" spans="1:50" ht="12.75" customHeight="1" x14ac:dyDescent="0.25">
      <c r="B5" s="211" t="s">
        <v>2221</v>
      </c>
      <c r="C5" s="154"/>
      <c r="D5" s="154"/>
      <c r="E5" s="154"/>
      <c r="F5" s="154"/>
      <c r="G5" s="214"/>
      <c r="H5" s="214"/>
      <c r="I5" s="212"/>
      <c r="J5" s="408" t="s">
        <v>2743</v>
      </c>
      <c r="K5" s="246"/>
      <c r="L5" s="246"/>
      <c r="M5" s="336"/>
      <c r="N5" s="146"/>
      <c r="O5" s="146"/>
      <c r="P5" s="146"/>
      <c r="Q5" s="146"/>
      <c r="R5" s="270"/>
      <c r="S5" s="528" t="s">
        <v>2704</v>
      </c>
      <c r="T5" s="528"/>
      <c r="U5" s="528"/>
      <c r="V5" s="528"/>
      <c r="W5" s="528"/>
      <c r="X5" s="528"/>
      <c r="Y5" s="528"/>
      <c r="Z5" s="528"/>
      <c r="AA5" s="528"/>
      <c r="AB5" s="528"/>
      <c r="AC5" s="56"/>
      <c r="AD5" s="14"/>
      <c r="AF5" s="427" t="s">
        <v>2740</v>
      </c>
      <c r="AK5" s="103"/>
      <c r="AL5" s="103"/>
      <c r="AM5" s="103"/>
      <c r="AN5" s="103"/>
      <c r="AO5" s="103"/>
      <c r="AP5" s="103"/>
      <c r="AQ5" s="103"/>
      <c r="AR5" s="103"/>
      <c r="AS5" s="103"/>
      <c r="AT5" s="103"/>
      <c r="AU5" s="103"/>
      <c r="AV5" s="103"/>
      <c r="AW5" s="103"/>
      <c r="AX5" s="103"/>
    </row>
    <row r="6" spans="1:50" ht="12.75" customHeight="1" x14ac:dyDescent="0.2">
      <c r="B6" s="141"/>
      <c r="C6" s="520" t="s">
        <v>2163</v>
      </c>
      <c r="D6" s="521"/>
      <c r="E6" s="521" t="s">
        <v>827</v>
      </c>
      <c r="F6" s="521"/>
      <c r="G6" s="521" t="s">
        <v>824</v>
      </c>
      <c r="H6" s="521"/>
      <c r="I6" s="186"/>
      <c r="J6" s="271"/>
      <c r="K6" s="146"/>
      <c r="L6" s="146"/>
      <c r="M6" s="171"/>
      <c r="N6" s="146"/>
      <c r="O6" s="146"/>
      <c r="P6" s="146"/>
      <c r="Q6" s="146"/>
      <c r="R6" s="270"/>
      <c r="S6" s="288"/>
      <c r="T6" s="86"/>
      <c r="U6" s="86"/>
      <c r="V6" s="86"/>
      <c r="W6" s="86"/>
      <c r="X6" s="86"/>
      <c r="Y6" s="86"/>
      <c r="Z6" s="86"/>
      <c r="AA6" s="86"/>
      <c r="AB6" s="86"/>
      <c r="AC6" s="56"/>
      <c r="AD6" s="14"/>
      <c r="AF6" s="427" t="s">
        <v>2741</v>
      </c>
      <c r="AK6" s="103"/>
      <c r="AL6" s="299"/>
      <c r="AM6" s="299"/>
      <c r="AN6" s="299"/>
      <c r="AO6" s="299"/>
      <c r="AP6" s="299"/>
      <c r="AQ6" s="299"/>
      <c r="AR6" s="299"/>
      <c r="AS6" s="103"/>
      <c r="AT6" s="103"/>
      <c r="AU6" s="103"/>
      <c r="AV6" s="103"/>
      <c r="AW6" s="103"/>
      <c r="AX6" s="103"/>
    </row>
    <row r="7" spans="1:50" ht="13.7" customHeight="1" x14ac:dyDescent="0.2">
      <c r="B7" s="141"/>
      <c r="C7" s="197" t="s">
        <v>2053</v>
      </c>
      <c r="D7" s="197" t="s">
        <v>2053</v>
      </c>
      <c r="E7" s="201" t="s">
        <v>826</v>
      </c>
      <c r="F7" s="272"/>
      <c r="G7" s="198" t="s">
        <v>826</v>
      </c>
      <c r="H7" s="198"/>
      <c r="I7" s="273"/>
      <c r="J7" s="146"/>
      <c r="K7" s="146"/>
      <c r="L7" s="146"/>
      <c r="M7" s="274"/>
      <c r="N7" s="146"/>
      <c r="O7" s="146"/>
      <c r="P7" s="146"/>
      <c r="Q7" s="146"/>
      <c r="R7" s="270"/>
      <c r="S7" s="532" t="s">
        <v>2705</v>
      </c>
      <c r="T7" s="532"/>
      <c r="U7" s="532"/>
      <c r="V7" s="532"/>
      <c r="W7" s="532"/>
      <c r="X7" s="532"/>
      <c r="Y7" s="532"/>
      <c r="Z7" s="532"/>
      <c r="AA7" s="532"/>
      <c r="AB7" s="532"/>
      <c r="AC7" s="56"/>
      <c r="AD7" s="14"/>
      <c r="AF7" s="427" t="s">
        <v>2742</v>
      </c>
      <c r="AK7" s="103"/>
      <c r="AL7" s="299"/>
      <c r="AM7" s="299"/>
      <c r="AN7" s="299"/>
      <c r="AO7" s="299"/>
      <c r="AP7" s="299"/>
      <c r="AQ7" s="299"/>
      <c r="AR7" s="299"/>
      <c r="AS7" s="103"/>
      <c r="AT7" s="103"/>
      <c r="AU7" s="103"/>
      <c r="AV7" s="103"/>
      <c r="AW7" s="103"/>
      <c r="AX7" s="103"/>
    </row>
    <row r="8" spans="1:50" x14ac:dyDescent="0.2">
      <c r="B8" s="141"/>
      <c r="C8" s="275" t="str">
        <f>AN9</f>
        <v>0,01-10</v>
      </c>
      <c r="D8" s="196" t="s">
        <v>2166</v>
      </c>
      <c r="E8" s="196" t="s">
        <v>828</v>
      </c>
      <c r="F8" s="289" t="s">
        <v>828</v>
      </c>
      <c r="G8" s="276">
        <f>IF(Eingabe!$H$63=Eingabe!$C$171,AP9,0)</f>
        <v>350</v>
      </c>
      <c r="H8" s="198" t="s">
        <v>828</v>
      </c>
      <c r="I8" s="273"/>
      <c r="J8" s="146"/>
      <c r="K8" s="146"/>
      <c r="L8" s="146"/>
      <c r="M8" s="274"/>
      <c r="N8" s="146"/>
      <c r="O8" s="146"/>
      <c r="P8" s="146"/>
      <c r="Q8" s="146"/>
      <c r="R8" s="270"/>
      <c r="S8" s="533"/>
      <c r="T8" s="533"/>
      <c r="U8" s="533"/>
      <c r="V8" s="533"/>
      <c r="W8" s="533"/>
      <c r="X8" s="533"/>
      <c r="Y8" s="533"/>
      <c r="Z8" s="533"/>
      <c r="AA8" s="533"/>
      <c r="AB8" s="533"/>
      <c r="AC8" s="56"/>
      <c r="AD8" s="14"/>
      <c r="AK8" s="103"/>
      <c r="AL8" s="299"/>
      <c r="AM8" s="299"/>
      <c r="AN8" s="299"/>
      <c r="AO8" s="299"/>
      <c r="AP8" s="299">
        <v>2024</v>
      </c>
      <c r="AQ8" s="299"/>
      <c r="AR8" s="299"/>
      <c r="AS8" s="103"/>
      <c r="AT8" s="103"/>
      <c r="AU8" s="103"/>
      <c r="AV8" s="103"/>
      <c r="AW8" s="103"/>
      <c r="AX8" s="103"/>
    </row>
    <row r="9" spans="1:50" x14ac:dyDescent="0.2">
      <c r="B9" s="141"/>
      <c r="C9" s="275" t="str">
        <f t="shared" ref="C9:C10" si="0">AN10</f>
        <v>&gt;10-35</v>
      </c>
      <c r="D9" s="196" t="s">
        <v>2166</v>
      </c>
      <c r="E9" s="196" t="s">
        <v>828</v>
      </c>
      <c r="F9" s="289" t="s">
        <v>828</v>
      </c>
      <c r="G9" s="276">
        <f>IF(Eingabe!$H$63=Eingabe!$C$171,AP10,0)</f>
        <v>350</v>
      </c>
      <c r="H9" s="196" t="s">
        <v>828</v>
      </c>
      <c r="I9" s="273"/>
      <c r="J9" s="146"/>
      <c r="K9" s="146"/>
      <c r="L9" s="146"/>
      <c r="M9" s="274"/>
      <c r="N9" s="146"/>
      <c r="O9" s="146"/>
      <c r="P9" s="146"/>
      <c r="Q9" s="146"/>
      <c r="R9" s="270"/>
      <c r="S9" s="533"/>
      <c r="T9" s="533"/>
      <c r="U9" s="533"/>
      <c r="V9" s="533"/>
      <c r="W9" s="533"/>
      <c r="X9" s="533"/>
      <c r="Y9" s="533"/>
      <c r="Z9" s="533"/>
      <c r="AA9" s="533"/>
      <c r="AB9" s="533"/>
      <c r="AC9" s="56"/>
      <c r="AD9" s="14"/>
      <c r="AH9" s="299"/>
      <c r="AI9" s="299"/>
      <c r="AJ9" s="299"/>
      <c r="AK9" s="103"/>
      <c r="AL9" s="299"/>
      <c r="AM9" s="299" t="s">
        <v>2724</v>
      </c>
      <c r="AN9" s="299" t="s">
        <v>2728</v>
      </c>
      <c r="AO9" s="299"/>
      <c r="AP9" s="299">
        <f>IF(Eingabe!$H$37&lt;=35,Eingabe!$H$86*0.2,0)</f>
        <v>350</v>
      </c>
      <c r="AQ9" s="299"/>
      <c r="AR9" s="299"/>
      <c r="AS9" s="103"/>
      <c r="AT9" s="103"/>
      <c r="AU9" s="103"/>
      <c r="AV9" s="103"/>
      <c r="AW9" s="103"/>
      <c r="AX9" s="103"/>
    </row>
    <row r="10" spans="1:50" x14ac:dyDescent="0.2">
      <c r="B10" s="141"/>
      <c r="C10" s="275" t="str">
        <f t="shared" si="0"/>
        <v>&gt;35-100</v>
      </c>
      <c r="D10" s="196" t="s">
        <v>2166</v>
      </c>
      <c r="E10" s="196" t="s">
        <v>828</v>
      </c>
      <c r="F10" s="289" t="s">
        <v>828</v>
      </c>
      <c r="G10" s="276">
        <f>IF(Eingabe!$H$63=Eingabe!$C$171,AP11,0)</f>
        <v>0</v>
      </c>
      <c r="H10" s="429" t="s">
        <v>828</v>
      </c>
      <c r="I10" s="277"/>
      <c r="J10" s="142"/>
      <c r="K10" s="146"/>
      <c r="L10" s="146"/>
      <c r="M10" s="146"/>
      <c r="N10" s="146"/>
      <c r="O10" s="146"/>
      <c r="P10" s="146"/>
      <c r="Q10" s="146"/>
      <c r="R10" s="270"/>
      <c r="S10" s="533"/>
      <c r="T10" s="533"/>
      <c r="U10" s="533"/>
      <c r="V10" s="533"/>
      <c r="W10" s="533"/>
      <c r="X10" s="533"/>
      <c r="Y10" s="533"/>
      <c r="Z10" s="533"/>
      <c r="AA10" s="533"/>
      <c r="AB10" s="533"/>
      <c r="AC10" s="56"/>
      <c r="AD10" s="14"/>
      <c r="AH10" s="299"/>
      <c r="AI10" s="299"/>
      <c r="AJ10" s="299"/>
      <c r="AK10" s="103"/>
      <c r="AL10" s="299"/>
      <c r="AM10" s="299" t="s">
        <v>1806</v>
      </c>
      <c r="AN10" s="299" t="s">
        <v>2737</v>
      </c>
      <c r="AO10" s="299"/>
      <c r="AP10" s="299">
        <f>IF(Eingabe!$H$37&lt;=35,Eingabe!$H$86*0.2,0)</f>
        <v>350</v>
      </c>
      <c r="AQ10" s="299"/>
      <c r="AR10" s="299"/>
      <c r="AS10" s="103"/>
      <c r="AT10" s="103"/>
      <c r="AU10" s="103"/>
      <c r="AV10" s="103"/>
      <c r="AW10" s="103"/>
      <c r="AX10" s="103"/>
    </row>
    <row r="11" spans="1:50" x14ac:dyDescent="0.2">
      <c r="B11" s="141"/>
      <c r="C11" s="196" t="str">
        <f>AN12</f>
        <v>&gt;100-1000</v>
      </c>
      <c r="D11" s="196" t="s">
        <v>2166</v>
      </c>
      <c r="E11" s="289" t="s">
        <v>828</v>
      </c>
      <c r="F11" s="289" t="s">
        <v>828</v>
      </c>
      <c r="G11" s="276">
        <f>IF(Eingabe!$H$63=Eingabe!$C$171,AP12,0)</f>
        <v>0</v>
      </c>
      <c r="H11" s="430" t="s">
        <v>828</v>
      </c>
      <c r="I11" s="279"/>
      <c r="J11" s="146"/>
      <c r="K11" s="146"/>
      <c r="L11" s="146"/>
      <c r="M11" s="146"/>
      <c r="N11" s="146"/>
      <c r="O11" s="146"/>
      <c r="P11" s="146"/>
      <c r="Q11" s="146"/>
      <c r="R11" s="270"/>
      <c r="S11" s="533"/>
      <c r="T11" s="533"/>
      <c r="U11" s="533"/>
      <c r="V11" s="533"/>
      <c r="W11" s="533"/>
      <c r="X11" s="533"/>
      <c r="Y11" s="533"/>
      <c r="Z11" s="533"/>
      <c r="AA11" s="533"/>
      <c r="AB11" s="533"/>
      <c r="AC11" s="56"/>
      <c r="AD11" s="14"/>
      <c r="AH11" s="299"/>
      <c r="AI11" s="299"/>
      <c r="AJ11" s="299"/>
      <c r="AK11" s="103"/>
      <c r="AL11" s="299"/>
      <c r="AM11" s="299" t="s">
        <v>2725</v>
      </c>
      <c r="AN11" s="299" t="s">
        <v>2738</v>
      </c>
      <c r="AO11" s="299"/>
      <c r="AP11" s="299"/>
      <c r="AQ11" s="299"/>
      <c r="AR11" s="299"/>
      <c r="AS11" s="103"/>
      <c r="AT11" s="103"/>
      <c r="AU11" s="103"/>
      <c r="AV11" s="103"/>
      <c r="AW11" s="103"/>
      <c r="AX11" s="103"/>
    </row>
    <row r="12" spans="1:50" ht="12.75" customHeight="1" x14ac:dyDescent="0.2">
      <c r="B12" s="141"/>
      <c r="C12" s="280"/>
      <c r="D12" s="280"/>
      <c r="E12" s="280"/>
      <c r="F12" s="280"/>
      <c r="G12" s="281"/>
      <c r="H12" s="282"/>
      <c r="I12" s="279"/>
      <c r="J12" s="146"/>
      <c r="K12" s="146"/>
      <c r="L12" s="146"/>
      <c r="M12" s="171"/>
      <c r="N12" s="146"/>
      <c r="O12" s="146"/>
      <c r="P12" s="146"/>
      <c r="Q12" s="146"/>
      <c r="R12" s="270"/>
      <c r="S12" s="533"/>
      <c r="T12" s="533"/>
      <c r="U12" s="533"/>
      <c r="V12" s="533"/>
      <c r="W12" s="533"/>
      <c r="X12" s="533"/>
      <c r="Y12" s="533"/>
      <c r="Z12" s="533"/>
      <c r="AA12" s="533"/>
      <c r="AB12" s="533"/>
      <c r="AC12" s="56"/>
      <c r="AD12" s="14"/>
      <c r="AH12" s="299"/>
      <c r="AI12" s="299"/>
      <c r="AJ12" s="299"/>
      <c r="AK12" s="103"/>
      <c r="AL12" s="299"/>
      <c r="AM12" s="299" t="s">
        <v>2726</v>
      </c>
      <c r="AN12" s="299" t="s">
        <v>2727</v>
      </c>
      <c r="AO12" s="299"/>
      <c r="AP12" s="299"/>
      <c r="AQ12" s="299"/>
      <c r="AR12" s="299"/>
      <c r="AS12" s="103"/>
      <c r="AT12" s="103"/>
      <c r="AU12" s="103"/>
      <c r="AV12" s="103"/>
      <c r="AW12" s="103"/>
      <c r="AX12" s="103"/>
    </row>
    <row r="13" spans="1:50" x14ac:dyDescent="0.2">
      <c r="B13" s="283" t="s">
        <v>1643</v>
      </c>
      <c r="C13" s="146"/>
      <c r="D13" s="141"/>
      <c r="E13" s="141"/>
      <c r="F13" s="146"/>
      <c r="G13" s="146"/>
      <c r="H13" s="146"/>
      <c r="I13" s="186"/>
      <c r="J13" s="146"/>
      <c r="K13" s="146"/>
      <c r="L13" s="146"/>
      <c r="M13" s="171"/>
      <c r="N13" s="146"/>
      <c r="O13" s="146"/>
      <c r="P13" s="146"/>
      <c r="Q13" s="146"/>
      <c r="R13" s="270"/>
      <c r="S13" s="533"/>
      <c r="T13" s="533"/>
      <c r="U13" s="533"/>
      <c r="V13" s="533"/>
      <c r="W13" s="533"/>
      <c r="X13" s="533"/>
      <c r="Y13" s="533"/>
      <c r="Z13" s="533"/>
      <c r="AA13" s="533"/>
      <c r="AB13" s="533"/>
      <c r="AC13" s="56"/>
      <c r="AD13" s="14"/>
      <c r="AH13" s="299"/>
      <c r="AI13" s="299"/>
      <c r="AJ13" s="299"/>
      <c r="AK13" s="103"/>
      <c r="AL13" s="299"/>
      <c r="AM13" s="299"/>
      <c r="AN13" s="299"/>
      <c r="AO13" s="299"/>
      <c r="AP13" s="299"/>
      <c r="AQ13" s="299"/>
      <c r="AR13" s="299"/>
      <c r="AS13" s="103"/>
      <c r="AT13" s="103"/>
      <c r="AU13" s="103"/>
      <c r="AV13" s="103"/>
      <c r="AW13" s="103"/>
      <c r="AX13" s="103"/>
    </row>
    <row r="14" spans="1:50" x14ac:dyDescent="0.2">
      <c r="B14" s="146" t="str">
        <f>Eingabe!I209</f>
        <v>keine Landesförderung</v>
      </c>
      <c r="C14" s="146"/>
      <c r="D14" s="146"/>
      <c r="E14" s="146"/>
      <c r="F14" s="146"/>
      <c r="G14" s="146"/>
      <c r="H14" s="146"/>
      <c r="I14" s="186"/>
      <c r="J14" s="146"/>
      <c r="K14" s="146"/>
      <c r="L14" s="146"/>
      <c r="M14" s="171"/>
      <c r="N14" s="146"/>
      <c r="O14" s="146"/>
      <c r="P14" s="146"/>
      <c r="Q14" s="146"/>
      <c r="R14" s="270"/>
      <c r="S14" s="533"/>
      <c r="T14" s="533"/>
      <c r="U14" s="533"/>
      <c r="V14" s="533"/>
      <c r="W14" s="533"/>
      <c r="X14" s="533"/>
      <c r="Y14" s="533"/>
      <c r="Z14" s="533"/>
      <c r="AA14" s="533"/>
      <c r="AB14" s="533"/>
      <c r="AC14" s="56"/>
      <c r="AD14" s="14"/>
      <c r="AH14" s="299"/>
      <c r="AI14" s="299"/>
      <c r="AJ14" s="299"/>
      <c r="AK14" s="103"/>
      <c r="AL14" s="299"/>
      <c r="AM14" s="299"/>
      <c r="AN14" s="299"/>
      <c r="AO14" s="299"/>
      <c r="AP14" s="299"/>
      <c r="AQ14" s="299"/>
      <c r="AR14" s="299"/>
      <c r="AS14" s="103"/>
      <c r="AT14" s="103"/>
      <c r="AU14" s="103"/>
      <c r="AV14" s="103"/>
      <c r="AW14" s="103"/>
      <c r="AX14" s="103"/>
    </row>
    <row r="15" spans="1:50" ht="15" customHeight="1" x14ac:dyDescent="0.2">
      <c r="B15" s="141"/>
      <c r="C15" s="280"/>
      <c r="D15" s="280"/>
      <c r="E15" s="280"/>
      <c r="F15" s="280"/>
      <c r="G15" s="281"/>
      <c r="H15" s="282"/>
      <c r="I15" s="279"/>
      <c r="J15" s="146"/>
      <c r="K15" s="146"/>
      <c r="L15" s="146"/>
      <c r="M15" s="171"/>
      <c r="N15" s="146"/>
      <c r="O15" s="146"/>
      <c r="P15" s="146"/>
      <c r="Q15" s="146"/>
      <c r="R15" s="270"/>
      <c r="S15" s="533"/>
      <c r="T15" s="533"/>
      <c r="U15" s="533"/>
      <c r="V15" s="533"/>
      <c r="W15" s="533"/>
      <c r="X15" s="533"/>
      <c r="Y15" s="533"/>
      <c r="Z15" s="533"/>
      <c r="AA15" s="533"/>
      <c r="AB15" s="533"/>
      <c r="AC15" s="56"/>
      <c r="AD15" s="14"/>
      <c r="AH15" s="299"/>
      <c r="AI15" s="299"/>
      <c r="AJ15" s="299"/>
      <c r="AK15" s="103"/>
      <c r="AL15" s="299"/>
      <c r="AM15" s="299"/>
      <c r="AN15" s="299"/>
      <c r="AO15" s="299"/>
      <c r="AP15" s="299"/>
      <c r="AQ15" s="299"/>
      <c r="AR15" s="299"/>
      <c r="AS15" s="103"/>
      <c r="AT15" s="103"/>
      <c r="AU15" s="103"/>
      <c r="AV15" s="103"/>
      <c r="AW15" s="103"/>
      <c r="AX15" s="103"/>
    </row>
    <row r="16" spans="1:50" ht="5.0999999999999996" customHeight="1" x14ac:dyDescent="0.2">
      <c r="B16" s="268"/>
      <c r="C16" s="268"/>
      <c r="D16" s="268"/>
      <c r="E16" s="268"/>
      <c r="F16" s="268"/>
      <c r="G16" s="268"/>
      <c r="H16" s="268"/>
      <c r="I16" s="268"/>
      <c r="J16" s="268"/>
      <c r="K16" s="284"/>
      <c r="L16" s="268"/>
      <c r="M16" s="269"/>
      <c r="N16" s="268"/>
      <c r="O16" s="268"/>
      <c r="P16" s="268"/>
      <c r="Q16" s="268"/>
      <c r="R16" s="270"/>
      <c r="S16" s="533"/>
      <c r="T16" s="533"/>
      <c r="U16" s="533"/>
      <c r="V16" s="533"/>
      <c r="W16" s="533"/>
      <c r="X16" s="533"/>
      <c r="Y16" s="533"/>
      <c r="Z16" s="533"/>
      <c r="AA16" s="533"/>
      <c r="AB16" s="533"/>
      <c r="AC16" s="56"/>
      <c r="AD16" s="14"/>
      <c r="AH16" s="299"/>
      <c r="AI16" s="299"/>
      <c r="AJ16" s="299"/>
      <c r="AK16" s="103"/>
      <c r="AL16" s="299"/>
      <c r="AM16" s="299"/>
      <c r="AN16" s="299"/>
      <c r="AO16" s="299"/>
      <c r="AP16" s="299"/>
      <c r="AQ16" s="299"/>
      <c r="AR16" s="299"/>
      <c r="AS16" s="103"/>
      <c r="AT16" s="103"/>
      <c r="AU16" s="103"/>
      <c r="AV16" s="103"/>
      <c r="AW16" s="103"/>
      <c r="AX16" s="103"/>
    </row>
    <row r="17" spans="2:50" x14ac:dyDescent="0.2">
      <c r="B17" s="211" t="s">
        <v>2167</v>
      </c>
      <c r="C17" s="154"/>
      <c r="D17" s="154"/>
      <c r="E17" s="154"/>
      <c r="F17" s="154"/>
      <c r="G17" s="214"/>
      <c r="H17" s="214"/>
      <c r="I17" s="212"/>
      <c r="J17" s="408" t="s">
        <v>2743</v>
      </c>
      <c r="K17" s="146"/>
      <c r="L17" s="146"/>
      <c r="M17" s="171"/>
      <c r="N17" s="146"/>
      <c r="O17" s="146"/>
      <c r="P17" s="146"/>
      <c r="Q17" s="146"/>
      <c r="R17" s="270"/>
      <c r="S17" s="533"/>
      <c r="T17" s="533"/>
      <c r="U17" s="533"/>
      <c r="V17" s="533"/>
      <c r="W17" s="533"/>
      <c r="X17" s="533"/>
      <c r="Y17" s="533"/>
      <c r="Z17" s="533"/>
      <c r="AA17" s="533"/>
      <c r="AB17" s="533"/>
      <c r="AC17" s="56"/>
      <c r="AD17" s="14"/>
      <c r="AE17" s="16"/>
      <c r="AF17" s="56"/>
      <c r="AG17" s="56"/>
      <c r="AH17" s="140"/>
      <c r="AI17" s="140"/>
      <c r="AJ17" s="140"/>
      <c r="AK17" s="105"/>
      <c r="AL17" s="140"/>
      <c r="AM17" s="140"/>
      <c r="AN17" s="140"/>
      <c r="AO17" s="299"/>
      <c r="AP17" s="299"/>
      <c r="AQ17" s="299"/>
      <c r="AR17" s="299"/>
      <c r="AS17" s="103"/>
      <c r="AT17" s="103"/>
      <c r="AU17" s="103"/>
      <c r="AV17" s="103"/>
      <c r="AW17" s="103"/>
      <c r="AX17" s="103"/>
    </row>
    <row r="18" spans="2:50" x14ac:dyDescent="0.2">
      <c r="B18" s="141"/>
      <c r="C18" s="520" t="s">
        <v>2163</v>
      </c>
      <c r="D18" s="521"/>
      <c r="E18" s="521" t="s">
        <v>827</v>
      </c>
      <c r="F18" s="521"/>
      <c r="G18" s="521" t="s">
        <v>824</v>
      </c>
      <c r="H18" s="521"/>
      <c r="I18" s="186"/>
      <c r="J18" s="271"/>
      <c r="K18" s="146" t="s">
        <v>2703</v>
      </c>
      <c r="L18" s="146"/>
      <c r="M18" s="171"/>
      <c r="N18" s="146"/>
      <c r="O18" s="146"/>
      <c r="P18" s="146"/>
      <c r="Q18" s="146"/>
      <c r="R18" s="270"/>
      <c r="S18" s="533"/>
      <c r="T18" s="533"/>
      <c r="U18" s="533"/>
      <c r="V18" s="533"/>
      <c r="W18" s="533"/>
      <c r="X18" s="533"/>
      <c r="Y18" s="533"/>
      <c r="Z18" s="533"/>
      <c r="AA18" s="533"/>
      <c r="AB18" s="533"/>
      <c r="AC18" s="56"/>
      <c r="AD18" s="14"/>
      <c r="AE18" s="16"/>
      <c r="AF18" s="56"/>
      <c r="AG18" s="56"/>
      <c r="AH18" s="140"/>
      <c r="AI18" s="140"/>
      <c r="AJ18" s="140"/>
      <c r="AK18" s="105"/>
      <c r="AL18" s="140"/>
      <c r="AM18" s="140"/>
      <c r="AN18" s="140"/>
      <c r="AO18" s="299"/>
      <c r="AP18" s="299"/>
      <c r="AQ18" s="299"/>
      <c r="AR18" s="299"/>
      <c r="AS18" s="103"/>
      <c r="AT18" s="103"/>
      <c r="AU18" s="103"/>
      <c r="AV18" s="103"/>
      <c r="AW18" s="103"/>
      <c r="AX18" s="103"/>
    </row>
    <row r="19" spans="2:50" ht="13.7" customHeight="1" x14ac:dyDescent="0.2">
      <c r="B19" s="141"/>
      <c r="C19" s="197" t="s">
        <v>2053</v>
      </c>
      <c r="D19" s="197" t="s">
        <v>2053</v>
      </c>
      <c r="E19" s="201" t="s">
        <v>826</v>
      </c>
      <c r="F19" s="272"/>
      <c r="G19" s="198" t="s">
        <v>826</v>
      </c>
      <c r="H19" s="198"/>
      <c r="I19" s="273"/>
      <c r="J19" s="146"/>
      <c r="K19" s="522" t="s">
        <v>2721</v>
      </c>
      <c r="L19" s="523"/>
      <c r="M19" s="523"/>
      <c r="N19" s="523"/>
      <c r="O19" s="523"/>
      <c r="P19" s="524"/>
      <c r="Q19" s="146"/>
      <c r="R19" s="270"/>
      <c r="S19" s="533"/>
      <c r="T19" s="533"/>
      <c r="U19" s="533"/>
      <c r="V19" s="533"/>
      <c r="W19" s="533"/>
      <c r="X19" s="533"/>
      <c r="Y19" s="533"/>
      <c r="Z19" s="533"/>
      <c r="AA19" s="533"/>
      <c r="AB19" s="533"/>
      <c r="AC19" s="56"/>
      <c r="AD19" s="14"/>
      <c r="AE19" s="16"/>
      <c r="AF19" s="97"/>
      <c r="AG19" s="56"/>
      <c r="AH19" s="140"/>
      <c r="AI19" s="140"/>
      <c r="AJ19" s="140"/>
      <c r="AK19" s="105"/>
      <c r="AL19" s="140"/>
      <c r="AM19" s="140"/>
      <c r="AN19" s="140"/>
      <c r="AO19" s="299"/>
      <c r="AP19" s="299"/>
      <c r="AQ19" s="299"/>
      <c r="AR19" s="299"/>
      <c r="AS19" s="103"/>
      <c r="AT19" s="103"/>
      <c r="AU19" s="103"/>
      <c r="AV19" s="103"/>
      <c r="AW19" s="103"/>
      <c r="AX19" s="103"/>
    </row>
    <row r="20" spans="2:50" x14ac:dyDescent="0.2">
      <c r="B20" s="141"/>
      <c r="C20" s="429" t="str">
        <f t="shared" ref="C20:C22" si="1">C8</f>
        <v>0,01-10</v>
      </c>
      <c r="D20" s="196" t="s">
        <v>2166</v>
      </c>
      <c r="E20" s="196" t="s">
        <v>2709</v>
      </c>
      <c r="F20" s="196" t="s">
        <v>2709</v>
      </c>
      <c r="G20" s="276">
        <f>$G$8</f>
        <v>350</v>
      </c>
      <c r="H20" s="198" t="s">
        <v>828</v>
      </c>
      <c r="I20" s="273"/>
      <c r="J20" s="146"/>
      <c r="K20" s="146"/>
      <c r="L20" s="146"/>
      <c r="M20" s="274"/>
      <c r="N20" s="146"/>
      <c r="O20" s="146"/>
      <c r="P20" s="146"/>
      <c r="Q20" s="146"/>
      <c r="R20" s="270"/>
      <c r="S20" s="533"/>
      <c r="T20" s="533"/>
      <c r="U20" s="533"/>
      <c r="V20" s="533"/>
      <c r="W20" s="533"/>
      <c r="X20" s="533"/>
      <c r="Y20" s="533"/>
      <c r="Z20" s="533"/>
      <c r="AA20" s="533"/>
      <c r="AB20" s="533"/>
      <c r="AC20" s="56"/>
      <c r="AD20" s="14"/>
      <c r="AE20" s="16"/>
      <c r="AF20" s="98"/>
      <c r="AG20" s="56"/>
      <c r="AH20" s="140"/>
      <c r="AI20" s="140"/>
      <c r="AJ20" s="140"/>
      <c r="AK20" s="105"/>
      <c r="AL20" s="140"/>
      <c r="AM20" s="140"/>
      <c r="AN20" s="140"/>
      <c r="AO20" s="299"/>
      <c r="AP20" s="299"/>
      <c r="AQ20" s="299"/>
      <c r="AR20" s="299"/>
      <c r="AS20" s="103"/>
      <c r="AT20" s="103"/>
      <c r="AU20" s="103"/>
      <c r="AV20" s="103"/>
      <c r="AW20" s="103"/>
      <c r="AX20" s="103"/>
    </row>
    <row r="21" spans="2:50" x14ac:dyDescent="0.2">
      <c r="B21" s="141"/>
      <c r="C21" s="429" t="str">
        <f t="shared" si="1"/>
        <v>&gt;10-35</v>
      </c>
      <c r="D21" s="196" t="s">
        <v>2166</v>
      </c>
      <c r="E21" s="196" t="s">
        <v>2709</v>
      </c>
      <c r="F21" s="196" t="s">
        <v>2709</v>
      </c>
      <c r="G21" s="276">
        <f>$G$9</f>
        <v>350</v>
      </c>
      <c r="H21" s="196" t="s">
        <v>828</v>
      </c>
      <c r="I21" s="273"/>
      <c r="J21" s="146"/>
      <c r="K21" s="146"/>
      <c r="L21" s="146"/>
      <c r="M21" s="274"/>
      <c r="N21" s="146"/>
      <c r="O21" s="146"/>
      <c r="P21" s="146"/>
      <c r="Q21" s="146"/>
      <c r="R21" s="270"/>
      <c r="S21" s="533"/>
      <c r="T21" s="533"/>
      <c r="U21" s="533"/>
      <c r="V21" s="533"/>
      <c r="W21" s="533"/>
      <c r="X21" s="533"/>
      <c r="Y21" s="533"/>
      <c r="Z21" s="533"/>
      <c r="AA21" s="533"/>
      <c r="AB21" s="533"/>
      <c r="AC21" s="56"/>
      <c r="AD21" s="14"/>
      <c r="AE21" s="16"/>
      <c r="AF21" s="98"/>
      <c r="AG21" s="56"/>
      <c r="AH21" s="56"/>
      <c r="AI21" s="56"/>
      <c r="AJ21" s="56"/>
      <c r="AK21" s="105"/>
      <c r="AL21" s="105"/>
      <c r="AM21" s="105"/>
      <c r="AN21" s="105"/>
      <c r="AO21" s="103"/>
      <c r="AP21" s="103"/>
      <c r="AQ21" s="103"/>
      <c r="AR21" s="103"/>
      <c r="AS21" s="103"/>
      <c r="AT21" s="103"/>
      <c r="AU21" s="103"/>
      <c r="AV21" s="103"/>
      <c r="AW21" s="103"/>
      <c r="AX21" s="103"/>
    </row>
    <row r="22" spans="2:50" x14ac:dyDescent="0.2">
      <c r="B22" s="141"/>
      <c r="C22" s="429" t="str">
        <f t="shared" si="1"/>
        <v>&gt;35-100</v>
      </c>
      <c r="D22" s="196" t="s">
        <v>2166</v>
      </c>
      <c r="E22" s="196" t="s">
        <v>2709</v>
      </c>
      <c r="F22" s="196" t="s">
        <v>2709</v>
      </c>
      <c r="G22" s="276">
        <f>$G$10</f>
        <v>0</v>
      </c>
      <c r="H22" s="429" t="s">
        <v>828</v>
      </c>
      <c r="I22" s="277"/>
      <c r="J22" s="142"/>
      <c r="K22" s="146" t="s">
        <v>2708</v>
      </c>
      <c r="L22" s="146"/>
      <c r="M22" s="146"/>
      <c r="N22" s="146"/>
      <c r="O22" s="146"/>
      <c r="P22" s="146"/>
      <c r="Q22" s="146"/>
      <c r="R22" s="270"/>
      <c r="S22" s="533"/>
      <c r="T22" s="533"/>
      <c r="U22" s="533"/>
      <c r="V22" s="533"/>
      <c r="W22" s="533"/>
      <c r="X22" s="533"/>
      <c r="Y22" s="533"/>
      <c r="Z22" s="533"/>
      <c r="AA22" s="533"/>
      <c r="AB22" s="533"/>
      <c r="AC22" s="56"/>
      <c r="AD22" s="14"/>
      <c r="AE22" s="16"/>
      <c r="AF22" s="97"/>
      <c r="AG22" s="56"/>
      <c r="AH22" s="56"/>
      <c r="AI22" s="56"/>
      <c r="AJ22" s="56"/>
      <c r="AK22" s="105"/>
      <c r="AL22" s="105"/>
      <c r="AM22" s="105"/>
      <c r="AN22" s="105"/>
      <c r="AO22" s="103"/>
      <c r="AP22" s="103"/>
      <c r="AQ22" s="103"/>
      <c r="AR22" s="103"/>
      <c r="AS22" s="103"/>
      <c r="AT22" s="103"/>
      <c r="AU22" s="103"/>
      <c r="AV22" s="103"/>
      <c r="AW22" s="103"/>
      <c r="AX22" s="103"/>
    </row>
    <row r="23" spans="2:50" x14ac:dyDescent="0.2">
      <c r="B23" s="141"/>
      <c r="C23" s="196" t="str">
        <f>C11</f>
        <v>&gt;100-1000</v>
      </c>
      <c r="D23" s="196" t="s">
        <v>2166</v>
      </c>
      <c r="E23" s="196" t="s">
        <v>2709</v>
      </c>
      <c r="F23" s="196" t="s">
        <v>2709</v>
      </c>
      <c r="G23" s="276">
        <f>$G$11</f>
        <v>0</v>
      </c>
      <c r="H23" s="278" t="str">
        <f>$H$11</f>
        <v>-</v>
      </c>
      <c r="I23" s="279"/>
      <c r="J23" s="146"/>
      <c r="K23" s="522" t="s">
        <v>2721</v>
      </c>
      <c r="L23" s="523"/>
      <c r="M23" s="523"/>
      <c r="N23" s="523"/>
      <c r="O23" s="523"/>
      <c r="P23" s="524"/>
      <c r="Q23" s="146"/>
      <c r="R23" s="270"/>
      <c r="S23" s="533"/>
      <c r="T23" s="533"/>
      <c r="U23" s="533"/>
      <c r="V23" s="533"/>
      <c r="W23" s="533"/>
      <c r="X23" s="533"/>
      <c r="Y23" s="533"/>
      <c r="Z23" s="533"/>
      <c r="AA23" s="533"/>
      <c r="AB23" s="533"/>
      <c r="AC23" s="56"/>
      <c r="AD23" s="14"/>
      <c r="AE23" s="16"/>
      <c r="AF23" s="98"/>
      <c r="AG23" s="56"/>
      <c r="AH23" s="56"/>
      <c r="AI23" s="56"/>
      <c r="AJ23" s="56"/>
      <c r="AK23" s="105"/>
      <c r="AL23" s="105"/>
      <c r="AM23" s="105"/>
      <c r="AN23" s="105"/>
      <c r="AO23" s="103"/>
      <c r="AP23" s="103"/>
      <c r="AQ23" s="103"/>
      <c r="AR23" s="103"/>
      <c r="AS23" s="103"/>
      <c r="AT23" s="103"/>
      <c r="AU23" s="103"/>
      <c r="AV23" s="103"/>
      <c r="AW23" s="103"/>
      <c r="AX23" s="103"/>
    </row>
    <row r="24" spans="2:50" x14ac:dyDescent="0.2">
      <c r="B24" s="141"/>
      <c r="C24" s="280"/>
      <c r="D24" s="280"/>
      <c r="E24" s="280"/>
      <c r="F24" s="280"/>
      <c r="G24" s="281"/>
      <c r="H24" s="282"/>
      <c r="I24" s="279"/>
      <c r="J24" s="146"/>
      <c r="K24" s="146"/>
      <c r="L24" s="146"/>
      <c r="M24" s="171"/>
      <c r="N24" s="146"/>
      <c r="O24" s="146"/>
      <c r="P24" s="146"/>
      <c r="Q24" s="146"/>
      <c r="R24" s="270"/>
      <c r="S24" s="533"/>
      <c r="T24" s="533"/>
      <c r="U24" s="533"/>
      <c r="V24" s="533"/>
      <c r="W24" s="533"/>
      <c r="X24" s="533"/>
      <c r="Y24" s="533"/>
      <c r="Z24" s="533"/>
      <c r="AA24" s="533"/>
      <c r="AB24" s="533"/>
      <c r="AC24" s="56"/>
      <c r="AD24" s="14"/>
      <c r="AE24" s="16"/>
      <c r="AF24" s="98"/>
      <c r="AG24" s="56"/>
      <c r="AH24" s="56"/>
      <c r="AI24" s="56"/>
      <c r="AJ24" s="56"/>
      <c r="AK24" s="105"/>
      <c r="AL24" s="105"/>
      <c r="AM24" s="105"/>
      <c r="AN24" s="105"/>
      <c r="AO24" s="103"/>
      <c r="AP24" s="103"/>
      <c r="AQ24" s="103"/>
      <c r="AR24" s="103"/>
      <c r="AS24" s="103"/>
      <c r="AT24" s="103"/>
      <c r="AU24" s="103"/>
      <c r="AV24" s="103"/>
      <c r="AW24" s="103"/>
      <c r="AX24" s="103"/>
    </row>
    <row r="25" spans="2:50" x14ac:dyDescent="0.2">
      <c r="B25" s="283" t="s">
        <v>1643</v>
      </c>
      <c r="C25" s="146"/>
      <c r="D25" s="141"/>
      <c r="E25" s="141"/>
      <c r="F25" s="146"/>
      <c r="G25" s="146"/>
      <c r="H25" s="146"/>
      <c r="I25" s="186"/>
      <c r="J25" s="146"/>
      <c r="K25" s="146"/>
      <c r="L25" s="146"/>
      <c r="M25" s="146"/>
      <c r="N25" s="146"/>
      <c r="O25" s="146"/>
      <c r="P25" s="146"/>
      <c r="Q25" s="146"/>
      <c r="R25" s="270"/>
      <c r="S25" s="533"/>
      <c r="T25" s="533"/>
      <c r="U25" s="533"/>
      <c r="V25" s="533"/>
      <c r="W25" s="533"/>
      <c r="X25" s="533"/>
      <c r="Y25" s="533"/>
      <c r="Z25" s="533"/>
      <c r="AA25" s="533"/>
      <c r="AB25" s="533"/>
      <c r="AC25" s="56"/>
      <c r="AD25" s="14"/>
      <c r="AE25" s="16"/>
      <c r="AF25" s="98"/>
      <c r="AG25" s="56"/>
      <c r="AH25" s="56"/>
      <c r="AI25" s="56"/>
      <c r="AJ25" s="56"/>
      <c r="AK25" s="56"/>
      <c r="AL25" s="105"/>
      <c r="AM25" s="105"/>
      <c r="AN25" s="105"/>
      <c r="AO25" s="103"/>
      <c r="AP25" s="103"/>
      <c r="AQ25" s="103"/>
      <c r="AR25" s="103"/>
      <c r="AS25" s="103"/>
      <c r="AT25" s="103"/>
      <c r="AU25" s="103"/>
      <c r="AV25" s="103"/>
      <c r="AW25" s="103"/>
      <c r="AX25" s="103"/>
    </row>
    <row r="26" spans="2:50" x14ac:dyDescent="0.2">
      <c r="B26" s="146" t="str">
        <f>Eingabe!I210</f>
        <v>Förderprogramm im Zuge der Wohnbauförderung (Link im Register "Förderungen")</v>
      </c>
      <c r="C26" s="146"/>
      <c r="D26" s="146"/>
      <c r="E26" s="146"/>
      <c r="F26" s="146"/>
      <c r="G26" s="146"/>
      <c r="H26" s="146"/>
      <c r="I26" s="186"/>
      <c r="J26" s="146"/>
      <c r="K26" s="146"/>
      <c r="L26" s="146"/>
      <c r="M26" s="171"/>
      <c r="N26" s="146"/>
      <c r="O26" s="146"/>
      <c r="P26" s="146"/>
      <c r="Q26" s="146"/>
      <c r="R26" s="270"/>
      <c r="S26" s="533"/>
      <c r="T26" s="533"/>
      <c r="U26" s="533"/>
      <c r="V26" s="533"/>
      <c r="W26" s="533"/>
      <c r="X26" s="533"/>
      <c r="Y26" s="533"/>
      <c r="Z26" s="533"/>
      <c r="AA26" s="533"/>
      <c r="AB26" s="533"/>
      <c r="AC26" s="56"/>
      <c r="AD26" s="14"/>
      <c r="AE26" s="16"/>
      <c r="AF26" s="97"/>
      <c r="AG26" s="56"/>
      <c r="AH26" s="56"/>
      <c r="AI26" s="56"/>
      <c r="AJ26" s="56"/>
      <c r="AK26" s="56"/>
      <c r="AL26" s="105"/>
      <c r="AM26" s="105"/>
      <c r="AN26" s="105"/>
      <c r="AO26" s="103"/>
      <c r="AP26" s="103"/>
      <c r="AQ26" s="103"/>
      <c r="AR26" s="103"/>
      <c r="AS26" s="103"/>
      <c r="AT26" s="103"/>
      <c r="AU26" s="103"/>
      <c r="AV26" s="103"/>
      <c r="AW26" s="103"/>
      <c r="AX26" s="103"/>
    </row>
    <row r="27" spans="2:50" x14ac:dyDescent="0.2">
      <c r="B27" s="141"/>
      <c r="C27" s="280"/>
      <c r="D27" s="280"/>
      <c r="E27" s="280"/>
      <c r="F27" s="280"/>
      <c r="G27" s="281"/>
      <c r="H27" s="282"/>
      <c r="I27" s="279"/>
      <c r="J27" s="146"/>
      <c r="K27" s="146"/>
      <c r="L27" s="146"/>
      <c r="M27" s="171"/>
      <c r="N27" s="146"/>
      <c r="O27" s="146"/>
      <c r="P27" s="146"/>
      <c r="Q27" s="146"/>
      <c r="R27" s="270"/>
      <c r="S27" s="533"/>
      <c r="T27" s="533"/>
      <c r="U27" s="533"/>
      <c r="V27" s="533"/>
      <c r="W27" s="533"/>
      <c r="X27" s="533"/>
      <c r="Y27" s="533"/>
      <c r="Z27" s="533"/>
      <c r="AA27" s="533"/>
      <c r="AB27" s="533"/>
      <c r="AC27" s="56"/>
      <c r="AD27" s="14"/>
      <c r="AE27" s="16"/>
      <c r="AF27" s="98"/>
      <c r="AG27" s="56"/>
      <c r="AH27" s="56"/>
      <c r="AI27" s="56"/>
      <c r="AJ27" s="56"/>
      <c r="AK27" s="56"/>
      <c r="AL27" s="105"/>
      <c r="AM27" s="105"/>
      <c r="AN27" s="105"/>
      <c r="AO27" s="103"/>
      <c r="AP27" s="103"/>
      <c r="AQ27" s="103"/>
      <c r="AR27" s="103"/>
      <c r="AS27" s="103"/>
      <c r="AT27" s="103"/>
      <c r="AU27" s="103"/>
      <c r="AV27" s="103"/>
      <c r="AW27" s="103"/>
      <c r="AX27" s="103"/>
    </row>
    <row r="28" spans="2:50" ht="5.0999999999999996" customHeight="1" x14ac:dyDescent="0.2">
      <c r="B28" s="268"/>
      <c r="C28" s="268"/>
      <c r="D28" s="268"/>
      <c r="E28" s="268"/>
      <c r="F28" s="268"/>
      <c r="G28" s="268"/>
      <c r="H28" s="268"/>
      <c r="I28" s="268"/>
      <c r="J28" s="268"/>
      <c r="K28" s="268"/>
      <c r="L28" s="268"/>
      <c r="M28" s="269"/>
      <c r="N28" s="268"/>
      <c r="O28" s="268"/>
      <c r="P28" s="268"/>
      <c r="Q28" s="268"/>
      <c r="R28" s="270"/>
      <c r="S28" s="533"/>
      <c r="T28" s="533"/>
      <c r="U28" s="533"/>
      <c r="V28" s="533"/>
      <c r="W28" s="533"/>
      <c r="X28" s="533"/>
      <c r="Y28" s="533"/>
      <c r="Z28" s="533"/>
      <c r="AA28" s="533"/>
      <c r="AB28" s="533"/>
      <c r="AC28" s="56"/>
      <c r="AD28" s="14"/>
      <c r="AE28" s="16"/>
      <c r="AF28" s="56"/>
      <c r="AG28" s="56"/>
      <c r="AH28" s="56"/>
      <c r="AI28" s="56"/>
      <c r="AJ28" s="56"/>
      <c r="AK28" s="56"/>
      <c r="AL28" s="105"/>
      <c r="AM28" s="105"/>
      <c r="AN28" s="105"/>
      <c r="AO28" s="103"/>
      <c r="AP28" s="103"/>
      <c r="AQ28" s="103"/>
      <c r="AR28" s="103"/>
      <c r="AS28" s="103"/>
      <c r="AT28" s="103"/>
      <c r="AU28" s="103"/>
      <c r="AV28" s="103"/>
      <c r="AW28" s="103"/>
      <c r="AX28" s="103"/>
    </row>
    <row r="29" spans="2:50" x14ac:dyDescent="0.2">
      <c r="B29" s="211" t="s">
        <v>2169</v>
      </c>
      <c r="C29" s="154"/>
      <c r="D29" s="154"/>
      <c r="E29" s="154"/>
      <c r="F29" s="154"/>
      <c r="G29" s="214"/>
      <c r="H29" s="214"/>
      <c r="I29" s="212"/>
      <c r="J29" s="408" t="s">
        <v>2743</v>
      </c>
      <c r="K29" s="146"/>
      <c r="L29" s="146"/>
      <c r="M29" s="171"/>
      <c r="N29" s="146"/>
      <c r="O29" s="146"/>
      <c r="P29" s="146"/>
      <c r="Q29" s="146"/>
      <c r="R29" s="270"/>
      <c r="S29" s="533"/>
      <c r="T29" s="533"/>
      <c r="U29" s="533"/>
      <c r="V29" s="533"/>
      <c r="W29" s="533"/>
      <c r="X29" s="533"/>
      <c r="Y29" s="533"/>
      <c r="Z29" s="533"/>
      <c r="AA29" s="533"/>
      <c r="AB29" s="533"/>
      <c r="AC29" s="56"/>
      <c r="AD29" s="14"/>
      <c r="AE29" s="16"/>
      <c r="AF29" s="56"/>
      <c r="AG29" s="56"/>
      <c r="AH29" s="56"/>
      <c r="AI29" s="56"/>
      <c r="AJ29" s="56"/>
      <c r="AK29" s="56"/>
      <c r="AL29" s="105"/>
      <c r="AM29" s="105"/>
      <c r="AN29" s="105"/>
      <c r="AO29" s="103"/>
      <c r="AP29" s="103"/>
      <c r="AQ29" s="103"/>
      <c r="AR29" s="103"/>
      <c r="AS29" s="103"/>
      <c r="AT29" s="103"/>
      <c r="AU29" s="103"/>
      <c r="AV29" s="103"/>
      <c r="AW29" s="103"/>
      <c r="AX29" s="103"/>
    </row>
    <row r="30" spans="2:50" x14ac:dyDescent="0.2">
      <c r="B30" s="141"/>
      <c r="C30" s="520" t="s">
        <v>2163</v>
      </c>
      <c r="D30" s="521"/>
      <c r="E30" s="521" t="s">
        <v>827</v>
      </c>
      <c r="F30" s="521"/>
      <c r="G30" s="521" t="s">
        <v>824</v>
      </c>
      <c r="H30" s="521"/>
      <c r="I30" s="186"/>
      <c r="J30" s="271"/>
      <c r="K30" s="146"/>
      <c r="L30" s="146"/>
      <c r="M30" s="171"/>
      <c r="N30" s="146"/>
      <c r="O30" s="146"/>
      <c r="P30" s="146"/>
      <c r="Q30" s="146"/>
      <c r="R30" s="270"/>
      <c r="S30" s="533"/>
      <c r="T30" s="533"/>
      <c r="U30" s="533"/>
      <c r="V30" s="533"/>
      <c r="W30" s="533"/>
      <c r="X30" s="533"/>
      <c r="Y30" s="533"/>
      <c r="Z30" s="533"/>
      <c r="AA30" s="533"/>
      <c r="AB30" s="533"/>
      <c r="AC30" s="56"/>
      <c r="AD30" s="14"/>
      <c r="AE30" s="16"/>
      <c r="AF30" s="56"/>
      <c r="AG30" s="56"/>
      <c r="AH30" s="56"/>
      <c r="AI30" s="56"/>
      <c r="AJ30" s="56"/>
      <c r="AK30" s="56"/>
      <c r="AL30" s="105"/>
      <c r="AM30" s="105"/>
      <c r="AN30" s="105"/>
      <c r="AO30" s="103"/>
      <c r="AP30" s="103"/>
      <c r="AQ30" s="103"/>
      <c r="AR30" s="103"/>
      <c r="AS30" s="103"/>
      <c r="AT30" s="103"/>
      <c r="AU30" s="103"/>
      <c r="AV30" s="103"/>
      <c r="AW30" s="103"/>
      <c r="AX30" s="103"/>
    </row>
    <row r="31" spans="2:50" x14ac:dyDescent="0.2">
      <c r="B31" s="141"/>
      <c r="C31" s="197" t="s">
        <v>2053</v>
      </c>
      <c r="D31" s="197" t="s">
        <v>2053</v>
      </c>
      <c r="E31" s="201" t="s">
        <v>826</v>
      </c>
      <c r="F31" s="272"/>
      <c r="G31" s="198" t="s">
        <v>826</v>
      </c>
      <c r="H31" s="198"/>
      <c r="I31" s="273"/>
      <c r="J31" s="146"/>
      <c r="K31" s="146"/>
      <c r="L31" s="146"/>
      <c r="M31" s="274"/>
      <c r="N31" s="146"/>
      <c r="O31" s="146"/>
      <c r="P31" s="146"/>
      <c r="Q31" s="146"/>
      <c r="R31" s="270"/>
      <c r="S31" s="533"/>
      <c r="T31" s="533"/>
      <c r="U31" s="533"/>
      <c r="V31" s="533"/>
      <c r="W31" s="533"/>
      <c r="X31" s="533"/>
      <c r="Y31" s="533"/>
      <c r="Z31" s="533"/>
      <c r="AA31" s="533"/>
      <c r="AB31" s="533"/>
      <c r="AC31" s="56"/>
      <c r="AD31" s="14"/>
      <c r="AE31" s="16"/>
      <c r="AF31" s="56"/>
      <c r="AG31" s="56"/>
      <c r="AH31" s="56"/>
      <c r="AI31" s="56"/>
      <c r="AJ31" s="56"/>
      <c r="AK31" s="56"/>
      <c r="AL31" s="105"/>
      <c r="AM31" s="105"/>
      <c r="AN31" s="105"/>
      <c r="AO31" s="103"/>
      <c r="AP31" s="103"/>
      <c r="AQ31" s="103"/>
      <c r="AR31" s="103"/>
      <c r="AS31" s="103"/>
      <c r="AT31" s="103"/>
      <c r="AU31" s="103"/>
      <c r="AV31" s="103"/>
      <c r="AW31" s="103"/>
      <c r="AX31" s="103"/>
    </row>
    <row r="32" spans="2:50" x14ac:dyDescent="0.2">
      <c r="B32" s="141"/>
      <c r="C32" s="429" t="str">
        <f t="shared" ref="C32:C34" si="2">C8</f>
        <v>0,01-10</v>
      </c>
      <c r="D32" s="196" t="s">
        <v>2166</v>
      </c>
      <c r="E32" s="196" t="s">
        <v>828</v>
      </c>
      <c r="F32" s="196" t="s">
        <v>828</v>
      </c>
      <c r="G32" s="276">
        <f>$G$8</f>
        <v>350</v>
      </c>
      <c r="H32" s="198" t="s">
        <v>828</v>
      </c>
      <c r="I32" s="273"/>
      <c r="J32" s="146"/>
      <c r="K32" s="146"/>
      <c r="L32" s="146"/>
      <c r="M32" s="274"/>
      <c r="N32" s="146"/>
      <c r="O32" s="146"/>
      <c r="P32" s="146"/>
      <c r="Q32" s="146"/>
      <c r="R32" s="270"/>
      <c r="S32" s="288"/>
      <c r="T32" s="146" t="s">
        <v>2702</v>
      </c>
      <c r="U32" s="90"/>
      <c r="V32" s="90"/>
      <c r="W32" s="90"/>
      <c r="X32" s="90"/>
      <c r="Y32" s="90"/>
      <c r="Z32" s="90"/>
      <c r="AA32" s="90"/>
      <c r="AB32" s="86"/>
      <c r="AC32" s="56"/>
      <c r="AD32" s="14"/>
      <c r="AE32" s="16"/>
      <c r="AF32" s="56"/>
      <c r="AG32" s="56"/>
      <c r="AH32" s="56"/>
      <c r="AI32" s="56"/>
      <c r="AJ32" s="56"/>
      <c r="AK32" s="56"/>
      <c r="AL32" s="105"/>
      <c r="AM32" s="105"/>
      <c r="AN32" s="105"/>
      <c r="AO32" s="103"/>
      <c r="AP32" s="103"/>
      <c r="AQ32" s="103"/>
      <c r="AR32" s="103"/>
      <c r="AS32" s="103"/>
      <c r="AT32" s="103"/>
      <c r="AU32" s="103"/>
      <c r="AV32" s="103"/>
      <c r="AW32" s="103"/>
      <c r="AX32" s="103"/>
    </row>
    <row r="33" spans="2:50" x14ac:dyDescent="0.2">
      <c r="B33" s="141"/>
      <c r="C33" s="429" t="str">
        <f t="shared" si="2"/>
        <v>&gt;10-35</v>
      </c>
      <c r="D33" s="196" t="s">
        <v>2166</v>
      </c>
      <c r="E33" s="196" t="s">
        <v>828</v>
      </c>
      <c r="F33" s="196" t="s">
        <v>828</v>
      </c>
      <c r="G33" s="276">
        <f>$G$9</f>
        <v>350</v>
      </c>
      <c r="H33" s="196" t="s">
        <v>828</v>
      </c>
      <c r="I33" s="273"/>
      <c r="J33" s="146"/>
      <c r="K33" s="146"/>
      <c r="L33" s="146"/>
      <c r="M33" s="274"/>
      <c r="N33" s="146"/>
      <c r="O33" s="146"/>
      <c r="P33" s="146"/>
      <c r="Q33" s="146"/>
      <c r="R33" s="270"/>
      <c r="S33" s="288"/>
      <c r="T33" s="529"/>
      <c r="U33" s="530"/>
      <c r="V33" s="531"/>
      <c r="W33" s="90"/>
      <c r="X33" s="90"/>
      <c r="Y33" s="90"/>
      <c r="Z33" s="90"/>
      <c r="AA33" s="90"/>
      <c r="AB33" s="86"/>
      <c r="AC33" s="56"/>
      <c r="AD33" s="14"/>
      <c r="AE33" s="16"/>
      <c r="AF33" s="56"/>
      <c r="AG33" s="56"/>
      <c r="AH33" s="56"/>
      <c r="AI33" s="56"/>
      <c r="AJ33" s="56"/>
      <c r="AK33" s="56"/>
      <c r="AL33" s="105"/>
      <c r="AM33" s="105"/>
      <c r="AN33" s="105"/>
      <c r="AO33" s="103"/>
      <c r="AP33" s="103"/>
      <c r="AQ33" s="103"/>
      <c r="AR33" s="103"/>
      <c r="AS33" s="103"/>
      <c r="AT33" s="103"/>
      <c r="AU33" s="103"/>
      <c r="AV33" s="103"/>
      <c r="AW33" s="103"/>
      <c r="AX33" s="103"/>
    </row>
    <row r="34" spans="2:50" x14ac:dyDescent="0.2">
      <c r="B34" s="141"/>
      <c r="C34" s="429" t="str">
        <f t="shared" si="2"/>
        <v>&gt;35-100</v>
      </c>
      <c r="D34" s="196" t="s">
        <v>2166</v>
      </c>
      <c r="E34" s="196" t="s">
        <v>828</v>
      </c>
      <c r="F34" s="196" t="s">
        <v>828</v>
      </c>
      <c r="G34" s="276">
        <f>$G$10</f>
        <v>0</v>
      </c>
      <c r="H34" s="429" t="s">
        <v>828</v>
      </c>
      <c r="I34" s="277"/>
      <c r="J34" s="142"/>
      <c r="K34" s="146"/>
      <c r="L34" s="146"/>
      <c r="M34" s="146"/>
      <c r="N34" s="146"/>
      <c r="O34" s="146"/>
      <c r="P34" s="146"/>
      <c r="Q34" s="146"/>
      <c r="R34" s="270"/>
      <c r="S34" s="288"/>
      <c r="T34" s="286"/>
      <c r="U34" s="286"/>
      <c r="V34" s="286"/>
      <c r="W34" s="286"/>
      <c r="X34" s="286"/>
      <c r="Y34" s="90"/>
      <c r="Z34" s="90"/>
      <c r="AA34" s="90"/>
      <c r="AB34" s="86"/>
      <c r="AC34" s="56"/>
      <c r="AD34" s="14"/>
      <c r="AE34" s="16"/>
      <c r="AF34" s="56"/>
      <c r="AG34" s="56"/>
      <c r="AH34" s="56"/>
      <c r="AI34" s="56"/>
      <c r="AJ34" s="56"/>
      <c r="AK34" s="56"/>
      <c r="AL34" s="105"/>
      <c r="AM34" s="105"/>
      <c r="AN34" s="105"/>
      <c r="AO34" s="103"/>
      <c r="AP34" s="105"/>
      <c r="AQ34" s="103"/>
      <c r="AR34" s="103"/>
      <c r="AS34" s="103"/>
      <c r="AT34" s="103"/>
      <c r="AU34" s="103"/>
      <c r="AV34" s="103"/>
      <c r="AW34" s="103"/>
      <c r="AX34" s="103"/>
    </row>
    <row r="35" spans="2:50" x14ac:dyDescent="0.2">
      <c r="B35" s="141"/>
      <c r="C35" s="196" t="str">
        <f>C11</f>
        <v>&gt;100-1000</v>
      </c>
      <c r="D35" s="196" t="s">
        <v>2166</v>
      </c>
      <c r="E35" s="196" t="s">
        <v>828</v>
      </c>
      <c r="F35" s="196" t="s">
        <v>828</v>
      </c>
      <c r="G35" s="276">
        <f>$G$11</f>
        <v>0</v>
      </c>
      <c r="H35" s="278" t="str">
        <f>$H$11</f>
        <v>-</v>
      </c>
      <c r="I35" s="279"/>
      <c r="J35" s="146"/>
      <c r="K35" s="146"/>
      <c r="L35" s="146"/>
      <c r="M35" s="171"/>
      <c r="N35" s="146"/>
      <c r="O35" s="146"/>
      <c r="P35" s="146"/>
      <c r="Q35" s="146"/>
      <c r="R35" s="270"/>
      <c r="S35" s="288"/>
      <c r="T35" s="146" t="s">
        <v>2639</v>
      </c>
      <c r="U35" s="286"/>
      <c r="V35" s="286"/>
      <c r="W35" s="286"/>
      <c r="X35" s="286"/>
      <c r="Y35" s="90"/>
      <c r="Z35" s="90"/>
      <c r="AA35" s="90"/>
      <c r="AB35" s="86"/>
      <c r="AC35" s="56"/>
      <c r="AD35" s="14"/>
      <c r="AE35" s="16"/>
      <c r="AF35" s="56"/>
      <c r="AG35" s="56"/>
      <c r="AH35" s="56"/>
      <c r="AI35" s="56"/>
      <c r="AJ35" s="56"/>
      <c r="AK35" s="56"/>
      <c r="AL35" s="105"/>
      <c r="AM35" s="105"/>
      <c r="AN35" s="105"/>
      <c r="AO35" s="103"/>
      <c r="AP35" s="105"/>
      <c r="AQ35" s="103"/>
      <c r="AR35" s="103"/>
      <c r="AS35" s="103"/>
      <c r="AT35" s="103"/>
      <c r="AU35" s="103"/>
      <c r="AV35" s="103"/>
      <c r="AW35" s="103"/>
      <c r="AX35" s="103"/>
    </row>
    <row r="36" spans="2:50" x14ac:dyDescent="0.2">
      <c r="B36" s="141"/>
      <c r="C36" s="280"/>
      <c r="D36" s="280"/>
      <c r="E36" s="280"/>
      <c r="F36" s="280"/>
      <c r="G36" s="281"/>
      <c r="H36" s="282"/>
      <c r="I36" s="279"/>
      <c r="J36" s="146"/>
      <c r="K36" s="146"/>
      <c r="L36" s="146"/>
      <c r="M36" s="171"/>
      <c r="N36" s="146"/>
      <c r="O36" s="146"/>
      <c r="P36" s="146"/>
      <c r="Q36" s="146"/>
      <c r="R36" s="270"/>
      <c r="S36" s="288"/>
      <c r="T36" s="529"/>
      <c r="U36" s="530"/>
      <c r="V36" s="531"/>
      <c r="W36" s="286"/>
      <c r="X36" s="286"/>
      <c r="Y36" s="90"/>
      <c r="Z36" s="90"/>
      <c r="AA36" s="90"/>
      <c r="AB36" s="86"/>
      <c r="AC36" s="56"/>
      <c r="AD36" s="14"/>
      <c r="AP36" s="56"/>
    </row>
    <row r="37" spans="2:50" x14ac:dyDescent="0.2">
      <c r="B37" s="283" t="s">
        <v>1643</v>
      </c>
      <c r="C37" s="146"/>
      <c r="D37" s="141"/>
      <c r="E37" s="141"/>
      <c r="F37" s="146"/>
      <c r="G37" s="146"/>
      <c r="H37" s="146"/>
      <c r="I37" s="186"/>
      <c r="J37" s="146"/>
      <c r="K37" s="146"/>
      <c r="L37" s="146"/>
      <c r="M37" s="171"/>
      <c r="N37" s="146"/>
      <c r="O37" s="146"/>
      <c r="P37" s="146"/>
      <c r="Q37" s="146"/>
      <c r="R37" s="270"/>
      <c r="S37" s="288"/>
      <c r="T37" s="286"/>
      <c r="U37" s="286"/>
      <c r="V37" s="286"/>
      <c r="W37" s="286"/>
      <c r="X37" s="286"/>
      <c r="Y37" s="90"/>
      <c r="Z37" s="90"/>
      <c r="AA37" s="90"/>
      <c r="AB37" s="86"/>
      <c r="AC37" s="56"/>
    </row>
    <row r="38" spans="2:50" x14ac:dyDescent="0.2">
      <c r="B38" s="146" t="str">
        <f>Eingabe!I211</f>
        <v>keine Landesförderung</v>
      </c>
      <c r="C38" s="146"/>
      <c r="D38" s="146"/>
      <c r="E38" s="146"/>
      <c r="F38" s="146"/>
      <c r="G38" s="146"/>
      <c r="H38" s="146"/>
      <c r="I38" s="186"/>
      <c r="J38" s="146"/>
      <c r="K38" s="146"/>
      <c r="L38" s="146"/>
      <c r="M38" s="171"/>
      <c r="N38" s="146"/>
      <c r="O38" s="146"/>
      <c r="P38" s="146"/>
      <c r="Q38" s="146"/>
      <c r="R38" s="270"/>
      <c r="S38" s="288"/>
      <c r="T38" s="146" t="s">
        <v>2638</v>
      </c>
      <c r="U38" s="146"/>
      <c r="V38" s="146"/>
      <c r="W38" s="146"/>
      <c r="X38" s="146"/>
      <c r="Y38" s="86"/>
      <c r="Z38" s="86"/>
      <c r="AA38" s="86"/>
      <c r="AB38" s="86"/>
      <c r="AC38" s="56"/>
    </row>
    <row r="39" spans="2:50" x14ac:dyDescent="0.2">
      <c r="B39" s="141"/>
      <c r="C39" s="280"/>
      <c r="D39" s="280"/>
      <c r="E39" s="280"/>
      <c r="F39" s="280"/>
      <c r="G39" s="281"/>
      <c r="H39" s="282"/>
      <c r="I39" s="279"/>
      <c r="J39" s="146"/>
      <c r="K39" s="146"/>
      <c r="L39" s="146"/>
      <c r="M39" s="171"/>
      <c r="N39" s="146"/>
      <c r="O39" s="146"/>
      <c r="P39" s="146"/>
      <c r="Q39" s="146"/>
      <c r="R39" s="270"/>
      <c r="S39" s="288"/>
      <c r="T39" s="525"/>
      <c r="U39" s="526"/>
      <c r="V39" s="526"/>
      <c r="W39" s="527"/>
      <c r="X39" s="286"/>
      <c r="Y39" s="90"/>
      <c r="Z39" s="90"/>
      <c r="AA39" s="90"/>
      <c r="AB39" s="86"/>
      <c r="AC39" s="56"/>
    </row>
    <row r="40" spans="2:50" ht="5.0999999999999996" customHeight="1" x14ac:dyDescent="0.2">
      <c r="B40" s="268"/>
      <c r="C40" s="268"/>
      <c r="D40" s="268"/>
      <c r="E40" s="268"/>
      <c r="F40" s="268"/>
      <c r="G40" s="268"/>
      <c r="H40" s="268"/>
      <c r="I40" s="268"/>
      <c r="J40" s="268"/>
      <c r="K40" s="268"/>
      <c r="L40" s="268"/>
      <c r="M40" s="285"/>
      <c r="N40" s="284"/>
      <c r="O40" s="131"/>
      <c r="P40" s="268"/>
      <c r="Q40" s="268"/>
      <c r="R40" s="270"/>
      <c r="S40" s="288"/>
      <c r="T40" s="287"/>
      <c r="U40" s="286"/>
      <c r="V40" s="286"/>
      <c r="W40" s="286"/>
      <c r="X40" s="286"/>
      <c r="Y40" s="90"/>
      <c r="Z40" s="90"/>
      <c r="AA40" s="90"/>
      <c r="AB40" s="86"/>
      <c r="AC40" s="56"/>
    </row>
    <row r="41" spans="2:50" ht="13.7" customHeight="1" x14ac:dyDescent="0.4">
      <c r="B41" s="211" t="s">
        <v>2170</v>
      </c>
      <c r="C41" s="154"/>
      <c r="D41" s="154"/>
      <c r="E41" s="154"/>
      <c r="F41" s="154"/>
      <c r="G41" s="214"/>
      <c r="H41" s="214"/>
      <c r="I41" s="212"/>
      <c r="J41" s="408" t="s">
        <v>2743</v>
      </c>
      <c r="K41" s="146"/>
      <c r="L41" s="146"/>
      <c r="M41" s="171"/>
      <c r="N41" s="146"/>
      <c r="O41" s="146"/>
      <c r="P41" s="146"/>
      <c r="Q41" s="146"/>
      <c r="R41" s="270"/>
      <c r="S41" s="288"/>
      <c r="T41" s="271"/>
      <c r="U41" s="271"/>
      <c r="V41" s="271"/>
      <c r="W41" s="271"/>
      <c r="X41" s="271"/>
      <c r="Y41" s="91"/>
      <c r="Z41" s="91"/>
      <c r="AA41" s="91"/>
      <c r="AB41" s="86"/>
      <c r="AC41" s="56"/>
      <c r="AG41" s="93"/>
    </row>
    <row r="42" spans="2:50" x14ac:dyDescent="0.2">
      <c r="B42" s="141"/>
      <c r="C42" s="520" t="s">
        <v>2163</v>
      </c>
      <c r="D42" s="521"/>
      <c r="E42" s="521" t="s">
        <v>827</v>
      </c>
      <c r="F42" s="521"/>
      <c r="G42" s="521" t="s">
        <v>824</v>
      </c>
      <c r="H42" s="521"/>
      <c r="I42" s="186"/>
      <c r="J42" s="271"/>
      <c r="K42" s="146"/>
      <c r="L42" s="146"/>
      <c r="M42" s="171"/>
      <c r="N42" s="146"/>
      <c r="O42" s="146"/>
      <c r="P42" s="146"/>
      <c r="Q42" s="146"/>
      <c r="R42" s="270"/>
      <c r="S42" s="16"/>
      <c r="T42" s="58"/>
      <c r="U42" s="58"/>
      <c r="V42" s="58"/>
      <c r="W42" s="58"/>
      <c r="X42" s="58"/>
      <c r="Y42" s="58"/>
      <c r="Z42" s="58"/>
      <c r="AA42" s="58"/>
      <c r="AB42" s="56"/>
      <c r="AC42" s="56"/>
      <c r="AG42" s="92"/>
    </row>
    <row r="43" spans="2:50" x14ac:dyDescent="0.2">
      <c r="B43" s="141"/>
      <c r="C43" s="197" t="s">
        <v>2053</v>
      </c>
      <c r="D43" s="197" t="s">
        <v>2053</v>
      </c>
      <c r="E43" s="201" t="s">
        <v>826</v>
      </c>
      <c r="F43" s="272"/>
      <c r="G43" s="198" t="s">
        <v>826</v>
      </c>
      <c r="H43" s="198"/>
      <c r="I43" s="273"/>
      <c r="J43" s="146"/>
      <c r="K43" s="146"/>
      <c r="L43" s="146"/>
      <c r="M43" s="274"/>
      <c r="N43" s="146"/>
      <c r="O43" s="146"/>
      <c r="P43" s="146"/>
      <c r="Q43" s="146"/>
      <c r="R43" s="270"/>
      <c r="AC43" s="56"/>
      <c r="AG43" s="94"/>
    </row>
    <row r="44" spans="2:50" x14ac:dyDescent="0.2">
      <c r="B44" s="141"/>
      <c r="C44" s="429" t="str">
        <f t="shared" ref="C44:C46" si="3">C20</f>
        <v>0,01-10</v>
      </c>
      <c r="D44" s="196" t="s">
        <v>2166</v>
      </c>
      <c r="E44" s="196" t="s">
        <v>828</v>
      </c>
      <c r="F44" s="196" t="s">
        <v>828</v>
      </c>
      <c r="G44" s="276">
        <f>$G$8</f>
        <v>350</v>
      </c>
      <c r="H44" s="198" t="s">
        <v>828</v>
      </c>
      <c r="I44" s="273"/>
      <c r="J44" s="146"/>
      <c r="K44" s="146"/>
      <c r="L44" s="146"/>
      <c r="M44" s="274"/>
      <c r="N44" s="146"/>
      <c r="O44" s="146"/>
      <c r="P44" s="146"/>
      <c r="Q44" s="146"/>
      <c r="R44" s="270"/>
      <c r="AC44" s="56"/>
      <c r="AG44" s="92"/>
    </row>
    <row r="45" spans="2:50" x14ac:dyDescent="0.2">
      <c r="B45" s="141"/>
      <c r="C45" s="429" t="str">
        <f t="shared" si="3"/>
        <v>&gt;10-35</v>
      </c>
      <c r="D45" s="196" t="s">
        <v>2166</v>
      </c>
      <c r="E45" s="196" t="s">
        <v>828</v>
      </c>
      <c r="F45" s="196" t="s">
        <v>828</v>
      </c>
      <c r="G45" s="276">
        <f>$G$9</f>
        <v>350</v>
      </c>
      <c r="H45" s="196" t="s">
        <v>828</v>
      </c>
      <c r="I45" s="273"/>
      <c r="J45" s="146"/>
      <c r="K45" s="146"/>
      <c r="L45" s="146"/>
      <c r="M45" s="274"/>
      <c r="N45" s="146"/>
      <c r="O45" s="146"/>
      <c r="P45" s="146"/>
      <c r="Q45" s="146"/>
      <c r="R45" s="270"/>
      <c r="AC45" s="56"/>
      <c r="AG45" s="94"/>
    </row>
    <row r="46" spans="2:50" x14ac:dyDescent="0.2">
      <c r="B46" s="141"/>
      <c r="C46" s="429" t="str">
        <f t="shared" si="3"/>
        <v>&gt;35-100</v>
      </c>
      <c r="D46" s="196" t="s">
        <v>2166</v>
      </c>
      <c r="E46" s="196" t="s">
        <v>828</v>
      </c>
      <c r="F46" s="196" t="s">
        <v>828</v>
      </c>
      <c r="G46" s="276">
        <f>$G$10</f>
        <v>0</v>
      </c>
      <c r="H46" s="429" t="s">
        <v>828</v>
      </c>
      <c r="I46" s="277"/>
      <c r="J46" s="142"/>
      <c r="K46" s="146"/>
      <c r="L46" s="146"/>
      <c r="M46" s="146"/>
      <c r="N46" s="146"/>
      <c r="O46" s="146"/>
      <c r="P46" s="146"/>
      <c r="Q46" s="146"/>
      <c r="R46" s="270"/>
      <c r="AC46" s="56"/>
      <c r="AG46" s="92"/>
    </row>
    <row r="47" spans="2:50" x14ac:dyDescent="0.2">
      <c r="B47" s="141"/>
      <c r="C47" s="429" t="str">
        <f>C23</f>
        <v>&gt;100-1000</v>
      </c>
      <c r="D47" s="196" t="s">
        <v>2166</v>
      </c>
      <c r="E47" s="196" t="s">
        <v>828</v>
      </c>
      <c r="F47" s="196" t="s">
        <v>828</v>
      </c>
      <c r="G47" s="276">
        <f>$G$11</f>
        <v>0</v>
      </c>
      <c r="H47" s="278" t="str">
        <f>$H$11</f>
        <v>-</v>
      </c>
      <c r="I47" s="279"/>
      <c r="J47" s="146"/>
      <c r="K47" s="146"/>
      <c r="L47" s="146"/>
      <c r="M47" s="171"/>
      <c r="N47" s="146"/>
      <c r="O47" s="146"/>
      <c r="P47" s="146"/>
      <c r="Q47" s="146"/>
      <c r="R47" s="270"/>
      <c r="AC47" s="56"/>
      <c r="AG47" s="92"/>
    </row>
    <row r="48" spans="2:50" x14ac:dyDescent="0.2">
      <c r="B48" s="141"/>
      <c r="C48" s="280"/>
      <c r="D48" s="280"/>
      <c r="E48" s="280"/>
      <c r="F48" s="280"/>
      <c r="G48" s="281"/>
      <c r="H48" s="282"/>
      <c r="I48" s="279"/>
      <c r="J48" s="146"/>
      <c r="K48" s="246"/>
      <c r="L48" s="146"/>
      <c r="M48" s="171"/>
      <c r="N48" s="146"/>
      <c r="O48" s="146"/>
      <c r="P48" s="146"/>
      <c r="Q48" s="146"/>
      <c r="R48" s="270"/>
      <c r="AC48" s="56"/>
      <c r="AG48" s="94"/>
    </row>
    <row r="49" spans="2:33" x14ac:dyDescent="0.2">
      <c r="B49" s="283" t="s">
        <v>1643</v>
      </c>
      <c r="C49" s="146"/>
      <c r="D49" s="141"/>
      <c r="E49" s="141"/>
      <c r="F49" s="146"/>
      <c r="G49" s="146"/>
      <c r="H49" s="146"/>
      <c r="I49" s="186"/>
      <c r="J49" s="146"/>
      <c r="K49" s="146"/>
      <c r="L49" s="146"/>
      <c r="M49" s="146"/>
      <c r="N49" s="146"/>
      <c r="O49" s="146"/>
      <c r="P49" s="146"/>
      <c r="Q49" s="146"/>
      <c r="R49" s="270"/>
      <c r="AC49" s="56"/>
      <c r="AG49" s="92"/>
    </row>
    <row r="50" spans="2:33" x14ac:dyDescent="0.2">
      <c r="B50" s="146" t="str">
        <f>Eingabe!I212</f>
        <v>keine Landesförderung</v>
      </c>
      <c r="C50" s="146"/>
      <c r="D50" s="146"/>
      <c r="E50" s="146"/>
      <c r="F50" s="146"/>
      <c r="G50" s="146"/>
      <c r="H50" s="146"/>
      <c r="I50" s="186"/>
      <c r="J50" s="146"/>
      <c r="K50" s="146"/>
      <c r="L50" s="146"/>
      <c r="M50" s="171"/>
      <c r="N50" s="146"/>
      <c r="O50" s="146"/>
      <c r="P50" s="146"/>
      <c r="Q50" s="146"/>
      <c r="R50" s="270"/>
      <c r="AC50" s="56"/>
      <c r="AG50" s="92"/>
    </row>
    <row r="51" spans="2:33" x14ac:dyDescent="0.2">
      <c r="B51" s="141"/>
      <c r="C51" s="280"/>
      <c r="D51" s="280"/>
      <c r="E51" s="280"/>
      <c r="F51" s="280"/>
      <c r="G51" s="281"/>
      <c r="H51" s="282"/>
      <c r="I51" s="279"/>
      <c r="J51" s="146"/>
      <c r="K51" s="146"/>
      <c r="L51" s="146"/>
      <c r="M51" s="171"/>
      <c r="N51" s="146"/>
      <c r="O51" s="146"/>
      <c r="P51" s="146"/>
      <c r="Q51" s="146"/>
      <c r="R51" s="270"/>
      <c r="AC51" s="56"/>
      <c r="AG51" s="94"/>
    </row>
    <row r="52" spans="2:33" ht="5.0999999999999996" customHeight="1" x14ac:dyDescent="0.2">
      <c r="B52" s="131"/>
      <c r="C52" s="131"/>
      <c r="D52" s="131"/>
      <c r="E52" s="131"/>
      <c r="F52" s="131"/>
      <c r="G52" s="131"/>
      <c r="H52" s="131"/>
      <c r="I52" s="131"/>
      <c r="J52" s="268"/>
      <c r="K52" s="268"/>
      <c r="L52" s="268"/>
      <c r="M52" s="269"/>
      <c r="N52" s="268"/>
      <c r="O52" s="131"/>
      <c r="P52" s="131"/>
      <c r="Q52" s="131"/>
      <c r="R52" s="270"/>
      <c r="AC52" s="56"/>
      <c r="AG52" s="92"/>
    </row>
    <row r="53" spans="2:33" x14ac:dyDescent="0.2">
      <c r="B53" s="211" t="s">
        <v>33</v>
      </c>
      <c r="C53" s="154"/>
      <c r="D53" s="154"/>
      <c r="E53" s="154"/>
      <c r="F53" s="154"/>
      <c r="G53" s="214"/>
      <c r="H53" s="214"/>
      <c r="I53" s="212"/>
      <c r="J53" s="408" t="s">
        <v>2743</v>
      </c>
      <c r="K53" s="146"/>
      <c r="L53" s="146"/>
      <c r="M53" s="171"/>
      <c r="N53" s="146"/>
      <c r="O53" s="146"/>
      <c r="P53" s="146"/>
      <c r="Q53" s="146"/>
      <c r="R53" s="270"/>
      <c r="AC53" s="56"/>
      <c r="AG53" s="92"/>
    </row>
    <row r="54" spans="2:33" x14ac:dyDescent="0.2">
      <c r="B54" s="141"/>
      <c r="C54" s="520" t="s">
        <v>2163</v>
      </c>
      <c r="D54" s="521"/>
      <c r="E54" s="521" t="s">
        <v>827</v>
      </c>
      <c r="F54" s="521"/>
      <c r="G54" s="521" t="s">
        <v>824</v>
      </c>
      <c r="H54" s="521"/>
      <c r="I54" s="186"/>
      <c r="J54" s="146"/>
      <c r="K54" s="146" t="s">
        <v>2703</v>
      </c>
      <c r="L54" s="146"/>
      <c r="M54" s="274"/>
      <c r="N54" s="146"/>
      <c r="O54" s="146"/>
      <c r="P54" s="146"/>
      <c r="Q54" s="146"/>
      <c r="R54" s="270"/>
      <c r="AC54" s="56"/>
      <c r="AG54" s="92"/>
    </row>
    <row r="55" spans="2:33" x14ac:dyDescent="0.2">
      <c r="B55" s="141"/>
      <c r="C55" s="197" t="s">
        <v>2053</v>
      </c>
      <c r="D55" s="197" t="s">
        <v>2053</v>
      </c>
      <c r="E55" s="201" t="s">
        <v>826</v>
      </c>
      <c r="F55" s="272"/>
      <c r="G55" s="198" t="s">
        <v>826</v>
      </c>
      <c r="H55" s="198"/>
      <c r="I55" s="273"/>
      <c r="J55" s="142"/>
      <c r="K55" s="522" t="s">
        <v>2732</v>
      </c>
      <c r="L55" s="523"/>
      <c r="M55" s="523"/>
      <c r="N55" s="523"/>
      <c r="O55" s="523"/>
      <c r="P55" s="524"/>
      <c r="Q55" s="146"/>
      <c r="R55" s="270"/>
      <c r="AG55" s="92"/>
    </row>
    <row r="56" spans="2:33" x14ac:dyDescent="0.2">
      <c r="B56" s="141"/>
      <c r="C56" s="429" t="str">
        <f t="shared" ref="C56:C58" si="4">C32</f>
        <v>0,01-10</v>
      </c>
      <c r="D56" s="196" t="s">
        <v>2166</v>
      </c>
      <c r="E56" s="308">
        <v>150</v>
      </c>
      <c r="F56" s="326" t="s">
        <v>2164</v>
      </c>
      <c r="G56" s="276">
        <f>$G$8</f>
        <v>350</v>
      </c>
      <c r="H56" s="198" t="s">
        <v>828</v>
      </c>
      <c r="I56" s="273"/>
      <c r="J56" s="405"/>
      <c r="K56" s="404"/>
      <c r="L56" s="404"/>
      <c r="M56" s="404"/>
      <c r="N56" s="404"/>
      <c r="O56" s="404"/>
      <c r="P56" s="404"/>
      <c r="Q56" s="146"/>
      <c r="R56" s="270"/>
      <c r="AG56" s="92"/>
    </row>
    <row r="57" spans="2:33" x14ac:dyDescent="0.2">
      <c r="B57" s="141"/>
      <c r="C57" s="429" t="str">
        <f t="shared" si="4"/>
        <v>&gt;10-35</v>
      </c>
      <c r="D57" s="196" t="s">
        <v>2166</v>
      </c>
      <c r="E57" s="196">
        <v>150</v>
      </c>
      <c r="F57" s="418" t="s">
        <v>2164</v>
      </c>
      <c r="G57" s="276">
        <f>$G$9</f>
        <v>350</v>
      </c>
      <c r="H57" s="196" t="s">
        <v>828</v>
      </c>
      <c r="I57" s="273"/>
      <c r="J57" s="405"/>
      <c r="K57" s="404"/>
      <c r="L57" s="404"/>
      <c r="M57" s="404"/>
      <c r="N57" s="404"/>
      <c r="O57" s="404"/>
      <c r="P57" s="404"/>
      <c r="Q57" s="146"/>
      <c r="R57" s="270"/>
      <c r="AG57" s="92"/>
    </row>
    <row r="58" spans="2:33" x14ac:dyDescent="0.2">
      <c r="B58" s="141"/>
      <c r="C58" s="429" t="str">
        <f t="shared" si="4"/>
        <v>&gt;35-100</v>
      </c>
      <c r="D58" s="196" t="s">
        <v>2166</v>
      </c>
      <c r="E58" s="196"/>
      <c r="F58" s="418" t="s">
        <v>2164</v>
      </c>
      <c r="G58" s="276">
        <f>$G$10</f>
        <v>0</v>
      </c>
      <c r="H58" s="429" t="s">
        <v>828</v>
      </c>
      <c r="I58" s="277"/>
      <c r="J58" s="405"/>
      <c r="K58" s="146" t="s">
        <v>2708</v>
      </c>
      <c r="L58" s="404"/>
      <c r="M58" s="407"/>
      <c r="N58" s="404"/>
      <c r="O58" s="404"/>
      <c r="P58" s="146"/>
      <c r="Q58" s="146"/>
      <c r="R58" s="270"/>
      <c r="AG58" s="95"/>
    </row>
    <row r="59" spans="2:33" x14ac:dyDescent="0.2">
      <c r="B59" s="141"/>
      <c r="C59" s="429" t="str">
        <f>C35</f>
        <v>&gt;100-1000</v>
      </c>
      <c r="D59" s="196" t="s">
        <v>2166</v>
      </c>
      <c r="E59" s="196"/>
      <c r="F59" s="418" t="s">
        <v>2164</v>
      </c>
      <c r="G59" s="276">
        <f>$G$11</f>
        <v>0</v>
      </c>
      <c r="H59" s="278" t="str">
        <f>$H$11</f>
        <v>-</v>
      </c>
      <c r="I59" s="279"/>
      <c r="J59" s="405"/>
      <c r="K59" s="522" t="s">
        <v>2722</v>
      </c>
      <c r="L59" s="523"/>
      <c r="M59" s="523"/>
      <c r="N59" s="523"/>
      <c r="O59" s="523"/>
      <c r="P59" s="524"/>
      <c r="Q59" s="146"/>
      <c r="R59" s="270"/>
      <c r="AG59" s="92"/>
    </row>
    <row r="60" spans="2:33" x14ac:dyDescent="0.2">
      <c r="B60" s="141"/>
      <c r="C60" s="280"/>
      <c r="D60" s="280"/>
      <c r="E60" s="280"/>
      <c r="F60" s="280"/>
      <c r="G60" s="281"/>
      <c r="H60" s="282"/>
      <c r="I60" s="279"/>
      <c r="J60" s="405"/>
      <c r="K60" s="404"/>
      <c r="L60" s="404"/>
      <c r="M60" s="407"/>
      <c r="N60" s="404"/>
      <c r="O60" s="404"/>
      <c r="P60" s="146"/>
      <c r="Q60" s="146"/>
      <c r="R60" s="270"/>
      <c r="AG60" s="95"/>
    </row>
    <row r="61" spans="2:33" x14ac:dyDescent="0.2">
      <c r="B61" s="283" t="s">
        <v>1643</v>
      </c>
      <c r="C61" s="146"/>
      <c r="D61" s="141"/>
      <c r="E61" s="141"/>
      <c r="F61" s="146"/>
      <c r="G61" s="146"/>
      <c r="H61" s="146"/>
      <c r="I61" s="186"/>
      <c r="J61" s="405"/>
      <c r="K61" s="404"/>
      <c r="L61" s="146"/>
      <c r="M61" s="274"/>
      <c r="N61" s="146"/>
      <c r="O61" s="146"/>
      <c r="P61" s="146"/>
      <c r="Q61" s="405"/>
      <c r="AG61" s="92"/>
    </row>
    <row r="62" spans="2:33" x14ac:dyDescent="0.2">
      <c r="B62" s="146" t="str">
        <f>Eingabe!I213</f>
        <v>Förderspanne 1-15 kWp; Förderprogramm Photovoltaik (private) und Speicher (Link im Register "Förderungen")</v>
      </c>
      <c r="C62" s="146"/>
      <c r="D62" s="146"/>
      <c r="E62" s="146"/>
      <c r="F62" s="146"/>
      <c r="G62" s="146"/>
      <c r="H62" s="146"/>
      <c r="I62" s="186"/>
      <c r="J62" s="405"/>
      <c r="K62" s="404"/>
      <c r="L62" s="146"/>
      <c r="M62" s="274"/>
      <c r="N62" s="146"/>
      <c r="O62" s="146"/>
      <c r="P62" s="146"/>
      <c r="Q62" s="405"/>
      <c r="R62" s="270"/>
      <c r="AG62" s="94"/>
    </row>
    <row r="63" spans="2:33" x14ac:dyDescent="0.2">
      <c r="B63" s="141"/>
      <c r="C63" s="280"/>
      <c r="D63" s="280"/>
      <c r="E63" s="280"/>
      <c r="F63" s="280"/>
      <c r="G63" s="281"/>
      <c r="H63" s="282"/>
      <c r="I63" s="279"/>
      <c r="J63" s="405"/>
      <c r="K63" s="405"/>
      <c r="L63" s="405"/>
      <c r="M63" s="406"/>
      <c r="N63" s="405"/>
      <c r="O63" s="405"/>
      <c r="P63" s="405"/>
      <c r="Q63" s="405"/>
      <c r="R63" s="270"/>
      <c r="AG63" s="92"/>
    </row>
    <row r="64" spans="2:33" ht="5.0999999999999996" customHeight="1" x14ac:dyDescent="0.2">
      <c r="B64" s="268"/>
      <c r="C64" s="268"/>
      <c r="D64" s="268"/>
      <c r="E64" s="268"/>
      <c r="F64" s="268"/>
      <c r="G64" s="268"/>
      <c r="H64" s="268"/>
      <c r="I64" s="268"/>
      <c r="J64" s="268"/>
      <c r="K64" s="268"/>
      <c r="L64" s="268"/>
      <c r="M64" s="269"/>
      <c r="N64" s="268"/>
      <c r="O64" s="268"/>
      <c r="P64" s="268"/>
      <c r="Q64" s="268"/>
      <c r="R64" s="270"/>
      <c r="AG64" s="92"/>
    </row>
    <row r="65" spans="2:33" ht="15.75" x14ac:dyDescent="0.25">
      <c r="B65" s="267" t="s">
        <v>2438</v>
      </c>
      <c r="C65" s="268"/>
      <c r="D65" s="268"/>
      <c r="E65" s="268"/>
      <c r="F65" s="268"/>
      <c r="G65" s="268"/>
      <c r="H65" s="268"/>
      <c r="I65" s="268"/>
      <c r="J65" s="267" t="s">
        <v>2076</v>
      </c>
      <c r="K65" s="268"/>
      <c r="L65" s="268"/>
      <c r="M65" s="269"/>
      <c r="N65" s="268"/>
      <c r="O65" s="268"/>
      <c r="P65" s="268"/>
      <c r="Q65" s="268"/>
      <c r="R65" s="270"/>
      <c r="AG65" s="94"/>
    </row>
    <row r="66" spans="2:33" ht="5.0999999999999996" customHeight="1" x14ac:dyDescent="0.2">
      <c r="B66" s="268"/>
      <c r="C66" s="268"/>
      <c r="D66" s="268"/>
      <c r="E66" s="268"/>
      <c r="F66" s="268"/>
      <c r="G66" s="268"/>
      <c r="H66" s="268"/>
      <c r="I66" s="268"/>
      <c r="J66" s="268"/>
      <c r="K66" s="268"/>
      <c r="L66" s="268"/>
      <c r="M66" s="269"/>
      <c r="N66" s="268"/>
      <c r="O66" s="268"/>
      <c r="P66" s="268"/>
      <c r="Q66" s="268"/>
      <c r="R66" s="270"/>
      <c r="AG66" s="92"/>
    </row>
    <row r="67" spans="2:33" x14ac:dyDescent="0.2">
      <c r="B67" s="211" t="s">
        <v>2171</v>
      </c>
      <c r="C67" s="154"/>
      <c r="D67" s="154"/>
      <c r="E67" s="154"/>
      <c r="F67" s="154"/>
      <c r="G67" s="214"/>
      <c r="H67" s="214"/>
      <c r="I67" s="212"/>
      <c r="J67" s="408" t="s">
        <v>2743</v>
      </c>
      <c r="K67" s="246"/>
      <c r="L67" s="246"/>
      <c r="M67" s="336"/>
      <c r="N67" s="246"/>
      <c r="O67" s="246"/>
      <c r="P67" s="246"/>
      <c r="Q67" s="246"/>
      <c r="R67" s="270"/>
      <c r="AG67" s="95"/>
    </row>
    <row r="68" spans="2:33" x14ac:dyDescent="0.2">
      <c r="B68" s="141"/>
      <c r="C68" s="520" t="s">
        <v>2163</v>
      </c>
      <c r="D68" s="521"/>
      <c r="E68" s="521" t="s">
        <v>827</v>
      </c>
      <c r="F68" s="521"/>
      <c r="G68" s="521" t="s">
        <v>824</v>
      </c>
      <c r="H68" s="521"/>
      <c r="I68" s="186"/>
      <c r="J68" s="271"/>
      <c r="K68" s="146"/>
      <c r="L68" s="146"/>
      <c r="M68" s="171"/>
      <c r="N68" s="146"/>
      <c r="O68" s="146"/>
      <c r="P68" s="146"/>
      <c r="Q68" s="146"/>
      <c r="R68" s="270"/>
      <c r="AG68" s="92"/>
    </row>
    <row r="69" spans="2:33" x14ac:dyDescent="0.2">
      <c r="B69" s="141"/>
      <c r="C69" s="197" t="s">
        <v>2053</v>
      </c>
      <c r="D69" s="197" t="s">
        <v>2053</v>
      </c>
      <c r="E69" s="201" t="s">
        <v>826</v>
      </c>
      <c r="F69" s="272"/>
      <c r="G69" s="198" t="s">
        <v>826</v>
      </c>
      <c r="H69" s="198"/>
      <c r="I69" s="273"/>
      <c r="J69" s="146"/>
      <c r="K69" s="146"/>
      <c r="L69" s="146"/>
      <c r="M69" s="274"/>
      <c r="N69" s="146"/>
      <c r="O69" s="146"/>
      <c r="P69" s="146"/>
      <c r="Q69" s="146"/>
      <c r="R69" s="270"/>
      <c r="AG69" s="92"/>
    </row>
    <row r="70" spans="2:33" x14ac:dyDescent="0.2">
      <c r="B70" s="141"/>
      <c r="C70" s="429" t="str">
        <f t="shared" ref="C70:C72" si="5">C56</f>
        <v>0,01-10</v>
      </c>
      <c r="D70" s="196" t="s">
        <v>2166</v>
      </c>
      <c r="E70" s="308" t="s">
        <v>828</v>
      </c>
      <c r="F70" s="413" t="s">
        <v>828</v>
      </c>
      <c r="G70" s="276">
        <f>$G$8</f>
        <v>350</v>
      </c>
      <c r="H70" s="198" t="s">
        <v>828</v>
      </c>
      <c r="I70" s="273"/>
      <c r="J70" s="146"/>
      <c r="K70" s="91"/>
      <c r="L70" s="146"/>
      <c r="M70" s="274"/>
      <c r="N70" s="146"/>
      <c r="O70" s="146"/>
      <c r="P70" s="146"/>
      <c r="Q70" s="146"/>
      <c r="R70" s="270"/>
      <c r="AG70" s="92"/>
    </row>
    <row r="71" spans="2:33" x14ac:dyDescent="0.2">
      <c r="B71" s="141"/>
      <c r="C71" s="429" t="str">
        <f t="shared" si="5"/>
        <v>&gt;10-35</v>
      </c>
      <c r="D71" s="196" t="s">
        <v>2166</v>
      </c>
      <c r="E71" s="414" t="s">
        <v>828</v>
      </c>
      <c r="F71" s="413" t="s">
        <v>828</v>
      </c>
      <c r="G71" s="276">
        <f>$G$9</f>
        <v>350</v>
      </c>
      <c r="H71" s="196" t="s">
        <v>828</v>
      </c>
      <c r="I71" s="273"/>
      <c r="J71" s="146"/>
      <c r="K71" s="146"/>
      <c r="L71" s="146"/>
      <c r="M71" s="274"/>
      <c r="N71" s="146"/>
      <c r="O71" s="146"/>
      <c r="P71" s="146"/>
      <c r="Q71" s="146"/>
      <c r="R71" s="270"/>
      <c r="AG71" s="92"/>
    </row>
    <row r="72" spans="2:33" x14ac:dyDescent="0.2">
      <c r="B72" s="141"/>
      <c r="C72" s="429" t="str">
        <f t="shared" si="5"/>
        <v>&gt;35-100</v>
      </c>
      <c r="D72" s="196" t="s">
        <v>2166</v>
      </c>
      <c r="E72" s="414" t="s">
        <v>828</v>
      </c>
      <c r="F72" s="413" t="s">
        <v>828</v>
      </c>
      <c r="G72" s="276">
        <f>$G$10</f>
        <v>0</v>
      </c>
      <c r="H72" s="429" t="s">
        <v>828</v>
      </c>
      <c r="I72" s="277"/>
      <c r="J72" s="142"/>
      <c r="K72" s="146"/>
      <c r="L72" s="146"/>
      <c r="M72" s="146"/>
      <c r="N72" s="146"/>
      <c r="O72" s="146"/>
      <c r="P72" s="146"/>
      <c r="Q72" s="146"/>
      <c r="R72" s="270"/>
      <c r="AG72" s="92"/>
    </row>
    <row r="73" spans="2:33" x14ac:dyDescent="0.2">
      <c r="B73" s="141"/>
      <c r="C73" s="429" t="str">
        <f>C59</f>
        <v>&gt;100-1000</v>
      </c>
      <c r="D73" s="196" t="s">
        <v>2166</v>
      </c>
      <c r="E73" s="196" t="s">
        <v>828</v>
      </c>
      <c r="F73" s="196" t="s">
        <v>828</v>
      </c>
      <c r="G73" s="276">
        <f>$G$11</f>
        <v>0</v>
      </c>
      <c r="H73" s="278" t="str">
        <f>$H$11</f>
        <v>-</v>
      </c>
      <c r="I73" s="279"/>
      <c r="J73" s="146"/>
      <c r="K73" s="91"/>
      <c r="L73" s="146"/>
      <c r="M73" s="171"/>
      <c r="N73" s="146"/>
      <c r="O73" s="146"/>
      <c r="P73" s="146"/>
      <c r="Q73" s="146"/>
      <c r="R73" s="270"/>
      <c r="AG73" s="92"/>
    </row>
    <row r="74" spans="2:33" ht="12.75" customHeight="1" x14ac:dyDescent="0.35">
      <c r="B74" s="141"/>
      <c r="C74" s="280"/>
      <c r="D74" s="280"/>
      <c r="E74" s="280"/>
      <c r="F74" s="280"/>
      <c r="G74" s="281"/>
      <c r="H74" s="282"/>
      <c r="I74" s="279"/>
      <c r="J74" s="146"/>
      <c r="K74" s="146"/>
      <c r="L74" s="146"/>
      <c r="M74" s="171"/>
      <c r="N74" s="146"/>
      <c r="O74" s="146"/>
      <c r="P74" s="146"/>
      <c r="Q74" s="146"/>
      <c r="R74" s="270"/>
      <c r="AG74" s="96"/>
    </row>
    <row r="75" spans="2:33" x14ac:dyDescent="0.2">
      <c r="B75" s="283" t="s">
        <v>1643</v>
      </c>
      <c r="C75" s="146"/>
      <c r="D75" s="141"/>
      <c r="E75" s="141"/>
      <c r="F75" s="146"/>
      <c r="G75" s="146"/>
      <c r="H75" s="146"/>
      <c r="I75" s="186"/>
      <c r="J75" s="146"/>
      <c r="K75" s="146"/>
      <c r="L75" s="146"/>
      <c r="M75" s="146"/>
      <c r="N75" s="146"/>
      <c r="O75" s="146"/>
      <c r="P75" s="146"/>
      <c r="Q75" s="146"/>
      <c r="R75" s="270"/>
      <c r="AG75" s="92"/>
    </row>
    <row r="76" spans="2:33" x14ac:dyDescent="0.2">
      <c r="B76" s="146" t="str">
        <f>Eingabe!I214</f>
        <v>keine Landesförderung</v>
      </c>
      <c r="C76" s="146"/>
      <c r="D76" s="146"/>
      <c r="E76" s="146"/>
      <c r="F76" s="146"/>
      <c r="G76" s="146"/>
      <c r="H76" s="146"/>
      <c r="I76" s="186"/>
      <c r="J76" s="146"/>
      <c r="K76" s="146"/>
      <c r="L76" s="146"/>
      <c r="M76" s="171"/>
      <c r="N76" s="146"/>
      <c r="O76" s="146"/>
      <c r="P76" s="146"/>
      <c r="Q76" s="146"/>
      <c r="R76" s="270"/>
      <c r="AG76" s="92"/>
    </row>
    <row r="77" spans="2:33" x14ac:dyDescent="0.2">
      <c r="B77" s="141"/>
      <c r="C77" s="280"/>
      <c r="D77" s="280"/>
      <c r="E77" s="280"/>
      <c r="F77" s="280"/>
      <c r="G77" s="281"/>
      <c r="H77" s="282"/>
      <c r="I77" s="279"/>
      <c r="J77" s="146"/>
      <c r="K77" s="146"/>
      <c r="L77" s="146"/>
      <c r="M77" s="171"/>
      <c r="N77" s="146"/>
      <c r="O77" s="146"/>
      <c r="P77" s="146"/>
      <c r="Q77" s="146"/>
      <c r="R77" s="270"/>
      <c r="AG77" s="94"/>
    </row>
    <row r="78" spans="2:33" ht="5.0999999999999996" customHeight="1" x14ac:dyDescent="0.2">
      <c r="B78" s="131"/>
      <c r="C78" s="131"/>
      <c r="D78" s="131"/>
      <c r="E78" s="131"/>
      <c r="F78" s="131"/>
      <c r="G78" s="131"/>
      <c r="H78" s="131"/>
      <c r="I78" s="131"/>
      <c r="J78" s="268"/>
      <c r="K78" s="268"/>
      <c r="L78" s="268"/>
      <c r="M78" s="269"/>
      <c r="N78" s="268"/>
      <c r="O78" s="268"/>
      <c r="P78" s="268"/>
      <c r="Q78" s="268"/>
      <c r="R78" s="270"/>
      <c r="AG78" s="94"/>
    </row>
    <row r="79" spans="2:33" x14ac:dyDescent="0.2">
      <c r="B79" s="211" t="s">
        <v>34</v>
      </c>
      <c r="C79" s="154"/>
      <c r="D79" s="154"/>
      <c r="E79" s="154"/>
      <c r="F79" s="154"/>
      <c r="G79" s="214"/>
      <c r="H79" s="214"/>
      <c r="I79" s="212"/>
      <c r="J79" s="408" t="s">
        <v>2743</v>
      </c>
      <c r="K79" s="146"/>
      <c r="L79" s="146"/>
      <c r="M79" s="171"/>
      <c r="N79" s="146"/>
      <c r="O79" s="146"/>
      <c r="P79" s="146"/>
      <c r="Q79" s="146"/>
      <c r="R79" s="270"/>
      <c r="AG79" s="95"/>
    </row>
    <row r="80" spans="2:33" x14ac:dyDescent="0.2">
      <c r="B80" s="141"/>
      <c r="C80" s="520" t="s">
        <v>2163</v>
      </c>
      <c r="D80" s="521"/>
      <c r="E80" s="521" t="s">
        <v>827</v>
      </c>
      <c r="F80" s="521"/>
      <c r="G80" s="521" t="s">
        <v>824</v>
      </c>
      <c r="H80" s="521"/>
      <c r="I80" s="186"/>
      <c r="J80" s="271"/>
      <c r="K80" s="146"/>
      <c r="L80" s="146"/>
      <c r="M80" s="171"/>
      <c r="N80" s="146"/>
      <c r="O80" s="146"/>
      <c r="P80" s="146"/>
      <c r="Q80" s="146"/>
      <c r="R80" s="270"/>
    </row>
    <row r="81" spans="2:18" x14ac:dyDescent="0.2">
      <c r="B81" s="141"/>
      <c r="C81" s="197" t="s">
        <v>2053</v>
      </c>
      <c r="D81" s="197" t="s">
        <v>2053</v>
      </c>
      <c r="E81" s="201" t="s">
        <v>826</v>
      </c>
      <c r="F81" s="272"/>
      <c r="G81" s="198" t="s">
        <v>826</v>
      </c>
      <c r="H81" s="198"/>
      <c r="I81" s="273"/>
      <c r="J81" s="146"/>
      <c r="K81" s="146"/>
      <c r="L81" s="146"/>
      <c r="M81" s="274"/>
      <c r="N81" s="146"/>
      <c r="O81" s="146"/>
      <c r="P81" s="146"/>
      <c r="Q81" s="146"/>
      <c r="R81" s="270"/>
    </row>
    <row r="82" spans="2:18" x14ac:dyDescent="0.2">
      <c r="B82" s="141"/>
      <c r="C82" s="429" t="str">
        <f t="shared" ref="C82:C84" si="6">C70</f>
        <v>0,01-10</v>
      </c>
      <c r="D82" s="196" t="s">
        <v>2166</v>
      </c>
      <c r="E82" s="196" t="s">
        <v>828</v>
      </c>
      <c r="F82" s="196" t="s">
        <v>828</v>
      </c>
      <c r="G82" s="276">
        <f>$G$8</f>
        <v>350</v>
      </c>
      <c r="H82" s="198" t="s">
        <v>828</v>
      </c>
      <c r="I82" s="273"/>
      <c r="J82" s="146"/>
      <c r="K82" s="146"/>
      <c r="L82" s="146"/>
      <c r="M82" s="274"/>
      <c r="N82" s="146"/>
      <c r="O82" s="146"/>
      <c r="P82" s="146"/>
      <c r="Q82" s="146"/>
      <c r="R82" s="270"/>
    </row>
    <row r="83" spans="2:18" x14ac:dyDescent="0.2">
      <c r="B83" s="141"/>
      <c r="C83" s="429" t="str">
        <f t="shared" si="6"/>
        <v>&gt;10-35</v>
      </c>
      <c r="D83" s="196" t="s">
        <v>2166</v>
      </c>
      <c r="E83" s="196" t="s">
        <v>828</v>
      </c>
      <c r="F83" s="196" t="s">
        <v>828</v>
      </c>
      <c r="G83" s="276">
        <f>$G$9</f>
        <v>350</v>
      </c>
      <c r="H83" s="196" t="s">
        <v>828</v>
      </c>
      <c r="I83" s="273"/>
      <c r="J83" s="146"/>
      <c r="K83" s="146"/>
      <c r="L83" s="146"/>
      <c r="M83" s="274"/>
      <c r="N83" s="146"/>
      <c r="O83" s="146"/>
      <c r="P83" s="146"/>
      <c r="Q83" s="146"/>
      <c r="R83" s="270"/>
    </row>
    <row r="84" spans="2:18" x14ac:dyDescent="0.2">
      <c r="B84" s="141"/>
      <c r="C84" s="429" t="str">
        <f t="shared" si="6"/>
        <v>&gt;35-100</v>
      </c>
      <c r="D84" s="196" t="s">
        <v>2166</v>
      </c>
      <c r="E84" s="196" t="s">
        <v>828</v>
      </c>
      <c r="F84" s="196" t="s">
        <v>828</v>
      </c>
      <c r="G84" s="276">
        <f>$G$10</f>
        <v>0</v>
      </c>
      <c r="H84" s="429" t="s">
        <v>828</v>
      </c>
      <c r="I84" s="277"/>
      <c r="J84" s="142"/>
      <c r="K84" s="146"/>
      <c r="L84" s="146"/>
      <c r="M84" s="146"/>
      <c r="N84" s="146"/>
      <c r="O84" s="146"/>
      <c r="P84" s="146"/>
      <c r="Q84" s="146"/>
      <c r="R84" s="270"/>
    </row>
    <row r="85" spans="2:18" x14ac:dyDescent="0.2">
      <c r="B85" s="141"/>
      <c r="C85" s="429" t="str">
        <f>C73</f>
        <v>&gt;100-1000</v>
      </c>
      <c r="D85" s="196" t="s">
        <v>2166</v>
      </c>
      <c r="E85" s="196" t="s">
        <v>828</v>
      </c>
      <c r="F85" s="418" t="s">
        <v>828</v>
      </c>
      <c r="G85" s="276">
        <f>$G$11</f>
        <v>0</v>
      </c>
      <c r="H85" s="278" t="str">
        <f>$H$11</f>
        <v>-</v>
      </c>
      <c r="I85" s="279"/>
      <c r="J85" s="146"/>
      <c r="K85" s="146"/>
      <c r="L85" s="146"/>
      <c r="M85" s="171"/>
      <c r="N85" s="146"/>
      <c r="O85" s="146"/>
      <c r="P85" s="146"/>
      <c r="Q85" s="146"/>
      <c r="R85" s="270"/>
    </row>
    <row r="86" spans="2:18" x14ac:dyDescent="0.2">
      <c r="B86" s="141"/>
      <c r="C86" s="280"/>
      <c r="D86" s="280"/>
      <c r="E86" s="280"/>
      <c r="F86" s="280"/>
      <c r="G86" s="281"/>
      <c r="H86" s="282"/>
      <c r="I86" s="279"/>
      <c r="J86" s="146"/>
      <c r="K86" s="146"/>
      <c r="L86" s="146"/>
      <c r="M86" s="171"/>
      <c r="N86" s="146"/>
      <c r="O86" s="146"/>
      <c r="P86" s="146"/>
      <c r="Q86" s="146"/>
      <c r="R86" s="270"/>
    </row>
    <row r="87" spans="2:18" x14ac:dyDescent="0.2">
      <c r="B87" s="283" t="s">
        <v>1643</v>
      </c>
      <c r="C87" s="146"/>
      <c r="D87" s="141"/>
      <c r="E87" s="141"/>
      <c r="F87" s="146"/>
      <c r="G87" s="146"/>
      <c r="H87" s="146"/>
      <c r="I87" s="186"/>
      <c r="J87" s="146"/>
      <c r="K87" s="146"/>
      <c r="L87" s="146"/>
      <c r="M87" s="171"/>
      <c r="N87" s="146"/>
      <c r="O87" s="146"/>
      <c r="P87" s="146"/>
      <c r="Q87" s="146"/>
      <c r="R87" s="270"/>
    </row>
    <row r="88" spans="2:18" x14ac:dyDescent="0.2">
      <c r="B88" s="146" t="str">
        <f>Eingabe!I215</f>
        <v>keine Landesförderung</v>
      </c>
      <c r="C88" s="146"/>
      <c r="D88" s="146"/>
      <c r="E88" s="146"/>
      <c r="F88" s="146"/>
      <c r="G88" s="146"/>
      <c r="H88" s="146"/>
      <c r="I88" s="186"/>
      <c r="J88" s="146"/>
      <c r="K88" s="146"/>
      <c r="L88" s="146"/>
      <c r="M88" s="171"/>
      <c r="N88" s="146"/>
      <c r="O88" s="146"/>
      <c r="P88" s="146"/>
      <c r="Q88" s="146"/>
      <c r="R88" s="270"/>
    </row>
    <row r="89" spans="2:18" x14ac:dyDescent="0.2">
      <c r="B89" s="141"/>
      <c r="C89" s="280"/>
      <c r="D89" s="280"/>
      <c r="E89" s="280"/>
      <c r="F89" s="280"/>
      <c r="G89" s="281"/>
      <c r="H89" s="282"/>
      <c r="I89" s="279"/>
      <c r="J89" s="146"/>
      <c r="K89" s="146"/>
      <c r="L89" s="146"/>
      <c r="M89" s="171"/>
      <c r="N89" s="146"/>
      <c r="O89" s="146"/>
      <c r="P89" s="146"/>
      <c r="Q89" s="146"/>
      <c r="R89" s="270"/>
    </row>
    <row r="90" spans="2:18" ht="5.0999999999999996" customHeight="1" x14ac:dyDescent="0.2">
      <c r="B90" s="131"/>
      <c r="C90" s="131"/>
      <c r="D90" s="131"/>
      <c r="E90" s="131"/>
      <c r="F90" s="131"/>
      <c r="G90" s="131"/>
      <c r="H90" s="131"/>
      <c r="I90" s="131"/>
      <c r="J90" s="268"/>
      <c r="K90" s="268"/>
      <c r="L90" s="268"/>
      <c r="M90" s="269"/>
      <c r="N90" s="268"/>
      <c r="O90" s="268"/>
      <c r="P90" s="268"/>
      <c r="Q90" s="268"/>
      <c r="R90" s="270"/>
    </row>
    <row r="91" spans="2:18" x14ac:dyDescent="0.2">
      <c r="B91" s="211" t="s">
        <v>35</v>
      </c>
      <c r="C91" s="154"/>
      <c r="D91" s="154"/>
      <c r="E91" s="154"/>
      <c r="F91" s="154"/>
      <c r="G91" s="214"/>
      <c r="H91" s="214"/>
      <c r="I91" s="212"/>
      <c r="J91" s="408" t="s">
        <v>2743</v>
      </c>
      <c r="K91" s="146"/>
      <c r="L91" s="146"/>
      <c r="M91" s="171"/>
      <c r="N91" s="146"/>
      <c r="O91" s="146"/>
      <c r="P91" s="146"/>
      <c r="Q91" s="146"/>
      <c r="R91" s="270"/>
    </row>
    <row r="92" spans="2:18" x14ac:dyDescent="0.2">
      <c r="B92" s="141"/>
      <c r="C92" s="520" t="s">
        <v>2163</v>
      </c>
      <c r="D92" s="521"/>
      <c r="E92" s="521" t="s">
        <v>827</v>
      </c>
      <c r="F92" s="521"/>
      <c r="G92" s="521" t="s">
        <v>824</v>
      </c>
      <c r="H92" s="521"/>
      <c r="I92" s="186"/>
      <c r="J92" s="271"/>
      <c r="K92" s="146"/>
      <c r="L92" s="146"/>
      <c r="M92" s="171"/>
      <c r="N92" s="146"/>
      <c r="O92" s="146"/>
      <c r="P92" s="146"/>
      <c r="Q92" s="146"/>
      <c r="R92" s="270"/>
    </row>
    <row r="93" spans="2:18" x14ac:dyDescent="0.2">
      <c r="B93" s="141"/>
      <c r="C93" s="197" t="s">
        <v>2053</v>
      </c>
      <c r="D93" s="197" t="s">
        <v>2053</v>
      </c>
      <c r="E93" s="201" t="s">
        <v>826</v>
      </c>
      <c r="F93" s="272"/>
      <c r="G93" s="198" t="s">
        <v>826</v>
      </c>
      <c r="H93" s="198"/>
      <c r="I93" s="273"/>
      <c r="J93" s="146"/>
      <c r="K93" s="146"/>
      <c r="L93" s="146"/>
      <c r="M93" s="274"/>
      <c r="N93" s="146"/>
      <c r="O93" s="146"/>
      <c r="P93" s="146"/>
      <c r="Q93" s="146"/>
      <c r="R93" s="270"/>
    </row>
    <row r="94" spans="2:18" x14ac:dyDescent="0.2">
      <c r="B94" s="141"/>
      <c r="C94" s="429" t="str">
        <f t="shared" ref="C94:C96" si="7">C82</f>
        <v>0,01-10</v>
      </c>
      <c r="D94" s="196" t="s">
        <v>2166</v>
      </c>
      <c r="E94" s="196" t="s">
        <v>828</v>
      </c>
      <c r="F94" s="196" t="s">
        <v>828</v>
      </c>
      <c r="G94" s="276">
        <f>$G$8</f>
        <v>350</v>
      </c>
      <c r="H94" s="198" t="s">
        <v>828</v>
      </c>
      <c r="I94" s="273"/>
      <c r="J94" s="146"/>
      <c r="K94" s="146"/>
      <c r="L94" s="146"/>
      <c r="M94" s="274"/>
      <c r="N94" s="146"/>
      <c r="O94" s="146"/>
      <c r="P94" s="146"/>
      <c r="Q94" s="146"/>
      <c r="R94" s="270"/>
    </row>
    <row r="95" spans="2:18" x14ac:dyDescent="0.2">
      <c r="B95" s="141"/>
      <c r="C95" s="429" t="str">
        <f t="shared" si="7"/>
        <v>&gt;10-35</v>
      </c>
      <c r="D95" s="196" t="s">
        <v>2166</v>
      </c>
      <c r="E95" s="196" t="s">
        <v>828</v>
      </c>
      <c r="F95" s="196" t="s">
        <v>828</v>
      </c>
      <c r="G95" s="276">
        <f>$G$9</f>
        <v>350</v>
      </c>
      <c r="H95" s="196" t="s">
        <v>828</v>
      </c>
      <c r="I95" s="273"/>
      <c r="J95" s="146"/>
      <c r="K95" s="146"/>
      <c r="L95" s="146"/>
      <c r="M95" s="274"/>
      <c r="N95" s="146"/>
      <c r="O95" s="146"/>
      <c r="P95" s="146"/>
      <c r="Q95" s="146"/>
      <c r="R95" s="270"/>
    </row>
    <row r="96" spans="2:18" x14ac:dyDescent="0.2">
      <c r="B96" s="141"/>
      <c r="C96" s="429" t="str">
        <f t="shared" si="7"/>
        <v>&gt;35-100</v>
      </c>
      <c r="D96" s="196" t="s">
        <v>2166</v>
      </c>
      <c r="E96" s="196" t="str">
        <f>E94</f>
        <v>-</v>
      </c>
      <c r="F96" s="196" t="s">
        <v>828</v>
      </c>
      <c r="G96" s="276">
        <f>$G$10</f>
        <v>0</v>
      </c>
      <c r="H96" s="429" t="s">
        <v>828</v>
      </c>
      <c r="I96" s="277"/>
      <c r="J96" s="142"/>
      <c r="K96" s="146"/>
      <c r="L96" s="146"/>
      <c r="M96" s="146"/>
      <c r="N96" s="146"/>
      <c r="O96" s="146"/>
      <c r="P96" s="146"/>
      <c r="Q96" s="146"/>
      <c r="R96" s="270"/>
    </row>
    <row r="97" spans="2:18" x14ac:dyDescent="0.2">
      <c r="B97" s="141"/>
      <c r="C97" s="196" t="str">
        <f>C85</f>
        <v>&gt;100-1000</v>
      </c>
      <c r="D97" s="196" t="s">
        <v>2166</v>
      </c>
      <c r="E97" s="196" t="s">
        <v>828</v>
      </c>
      <c r="F97" s="196" t="s">
        <v>828</v>
      </c>
      <c r="G97" s="276">
        <f>$G$11</f>
        <v>0</v>
      </c>
      <c r="H97" s="278" t="str">
        <f>$H$11</f>
        <v>-</v>
      </c>
      <c r="I97" s="279"/>
      <c r="J97" s="146"/>
      <c r="K97" s="146"/>
      <c r="L97" s="146"/>
      <c r="M97" s="171"/>
      <c r="N97" s="146"/>
      <c r="O97" s="146"/>
      <c r="P97" s="146"/>
      <c r="Q97" s="146"/>
      <c r="R97" s="270"/>
    </row>
    <row r="98" spans="2:18" x14ac:dyDescent="0.2">
      <c r="B98" s="141"/>
      <c r="C98" s="280"/>
      <c r="D98" s="280"/>
      <c r="E98" s="280"/>
      <c r="F98" s="280"/>
      <c r="G98" s="281"/>
      <c r="H98" s="282"/>
      <c r="I98" s="279"/>
      <c r="J98" s="146"/>
      <c r="K98" s="146"/>
      <c r="L98" s="146"/>
      <c r="M98" s="171"/>
      <c r="N98" s="146"/>
      <c r="O98" s="146"/>
      <c r="P98" s="146"/>
      <c r="Q98" s="146"/>
      <c r="R98" s="270"/>
    </row>
    <row r="99" spans="2:18" x14ac:dyDescent="0.2">
      <c r="B99" s="283" t="s">
        <v>1643</v>
      </c>
      <c r="C99" s="146"/>
      <c r="D99" s="141"/>
      <c r="E99" s="141"/>
      <c r="F99" s="146"/>
      <c r="G99" s="146"/>
      <c r="H99" s="146"/>
      <c r="I99" s="186"/>
      <c r="J99" s="146"/>
      <c r="K99" s="146"/>
      <c r="L99" s="146"/>
      <c r="M99" s="171"/>
      <c r="N99" s="146"/>
      <c r="O99" s="146"/>
      <c r="P99" s="146"/>
      <c r="Q99" s="146"/>
      <c r="R99" s="270"/>
    </row>
    <row r="100" spans="2:18" x14ac:dyDescent="0.2">
      <c r="B100" s="146" t="str">
        <f>Eingabe!I216</f>
        <v>keine Landesförderung</v>
      </c>
      <c r="C100" s="146"/>
      <c r="D100" s="146"/>
      <c r="E100" s="146"/>
      <c r="F100" s="146"/>
      <c r="G100" s="146"/>
      <c r="H100" s="146"/>
      <c r="I100" s="186"/>
      <c r="J100" s="146"/>
      <c r="K100" s="146"/>
      <c r="L100" s="146"/>
      <c r="M100" s="171"/>
      <c r="N100" s="146"/>
      <c r="O100" s="146"/>
      <c r="P100" s="146"/>
      <c r="Q100" s="146"/>
      <c r="R100" s="270"/>
    </row>
    <row r="101" spans="2:18" x14ac:dyDescent="0.2">
      <c r="B101" s="141"/>
      <c r="C101" s="280"/>
      <c r="D101" s="280"/>
      <c r="E101" s="280"/>
      <c r="F101" s="280"/>
      <c r="G101" s="281"/>
      <c r="H101" s="282"/>
      <c r="I101" s="279"/>
      <c r="J101" s="146"/>
      <c r="K101" s="146"/>
      <c r="L101" s="146"/>
      <c r="M101" s="171"/>
      <c r="N101" s="146"/>
      <c r="O101" s="146"/>
      <c r="P101" s="146"/>
      <c r="Q101" s="146"/>
      <c r="R101" s="270"/>
    </row>
    <row r="102" spans="2:18" ht="5.0999999999999996" customHeight="1" x14ac:dyDescent="0.2">
      <c r="B102" s="268"/>
      <c r="C102" s="268"/>
      <c r="D102" s="268"/>
      <c r="E102" s="268"/>
      <c r="F102" s="268"/>
      <c r="G102" s="268"/>
      <c r="H102" s="268"/>
      <c r="I102" s="268"/>
      <c r="J102" s="268"/>
      <c r="K102" s="268"/>
      <c r="L102" s="268"/>
      <c r="M102" s="269"/>
      <c r="N102" s="268"/>
      <c r="O102" s="268"/>
      <c r="P102" s="268"/>
      <c r="Q102" s="268"/>
      <c r="R102" s="270"/>
    </row>
    <row r="103" spans="2:18" x14ac:dyDescent="0.2">
      <c r="B103" s="211" t="s">
        <v>2172</v>
      </c>
      <c r="C103" s="154"/>
      <c r="D103" s="154"/>
      <c r="E103" s="154"/>
      <c r="F103" s="154"/>
      <c r="G103" s="214"/>
      <c r="H103" s="214"/>
      <c r="I103" s="212"/>
      <c r="J103" s="408" t="s">
        <v>2743</v>
      </c>
      <c r="K103" s="146"/>
      <c r="L103" s="146"/>
      <c r="M103" s="171"/>
      <c r="N103" s="146"/>
      <c r="O103" s="146"/>
      <c r="P103" s="146"/>
      <c r="Q103" s="146"/>
      <c r="R103" s="270"/>
    </row>
    <row r="104" spans="2:18" x14ac:dyDescent="0.2">
      <c r="B104" s="141"/>
      <c r="C104" s="520" t="s">
        <v>2163</v>
      </c>
      <c r="D104" s="521"/>
      <c r="E104" s="521" t="s">
        <v>827</v>
      </c>
      <c r="F104" s="521"/>
      <c r="G104" s="521" t="s">
        <v>824</v>
      </c>
      <c r="H104" s="521"/>
      <c r="I104" s="186"/>
      <c r="J104" s="271"/>
      <c r="K104" s="146" t="s">
        <v>2703</v>
      </c>
      <c r="L104" s="146"/>
      <c r="M104" s="171"/>
      <c r="N104" s="146"/>
      <c r="O104" s="146"/>
      <c r="P104" s="146"/>
      <c r="Q104" s="146"/>
      <c r="R104" s="270"/>
    </row>
    <row r="105" spans="2:18" x14ac:dyDescent="0.2">
      <c r="B105" s="141"/>
      <c r="C105" s="197" t="s">
        <v>2053</v>
      </c>
      <c r="D105" s="197" t="s">
        <v>2053</v>
      </c>
      <c r="E105" s="201" t="s">
        <v>826</v>
      </c>
      <c r="F105" s="272"/>
      <c r="G105" s="198" t="s">
        <v>826</v>
      </c>
      <c r="H105" s="198"/>
      <c r="I105" s="273"/>
      <c r="J105" s="146"/>
      <c r="K105" s="522" t="s">
        <v>2706</v>
      </c>
      <c r="L105" s="523"/>
      <c r="M105" s="523"/>
      <c r="N105" s="523"/>
      <c r="O105" s="523"/>
      <c r="P105" s="524"/>
      <c r="Q105" s="146"/>
      <c r="R105" s="270"/>
    </row>
    <row r="106" spans="2:18" x14ac:dyDescent="0.2">
      <c r="B106" s="141"/>
      <c r="C106" s="429" t="str">
        <f t="shared" ref="C106:C108" si="8">C94</f>
        <v>0,01-10</v>
      </c>
      <c r="D106" s="196" t="s">
        <v>2166</v>
      </c>
      <c r="E106" s="196">
        <v>250</v>
      </c>
      <c r="F106" s="196" t="s">
        <v>2164</v>
      </c>
      <c r="G106" s="276">
        <f>$G$8</f>
        <v>350</v>
      </c>
      <c r="H106" s="198" t="s">
        <v>828</v>
      </c>
      <c r="I106" s="273"/>
      <c r="J106" s="146"/>
      <c r="K106" s="146"/>
      <c r="L106" s="146"/>
      <c r="M106" s="274"/>
      <c r="N106" s="146"/>
      <c r="O106" s="146"/>
      <c r="P106" s="146"/>
      <c r="Q106" s="146"/>
      <c r="R106" s="270"/>
    </row>
    <row r="107" spans="2:18" x14ac:dyDescent="0.2">
      <c r="B107" s="141"/>
      <c r="C107" s="429" t="str">
        <f t="shared" si="8"/>
        <v>&gt;10-35</v>
      </c>
      <c r="D107" s="196" t="s">
        <v>2166</v>
      </c>
      <c r="E107" s="196">
        <v>250</v>
      </c>
      <c r="F107" s="196" t="s">
        <v>2164</v>
      </c>
      <c r="G107" s="276">
        <f>$G$9</f>
        <v>350</v>
      </c>
      <c r="H107" s="196" t="s">
        <v>828</v>
      </c>
      <c r="I107" s="273"/>
      <c r="J107" s="146"/>
      <c r="K107" s="146"/>
      <c r="L107" s="146"/>
      <c r="M107" s="274"/>
      <c r="N107" s="146"/>
      <c r="O107" s="146"/>
      <c r="P107" s="146"/>
      <c r="Q107" s="146"/>
      <c r="R107" s="270"/>
    </row>
    <row r="108" spans="2:18" x14ac:dyDescent="0.2">
      <c r="B108" s="141"/>
      <c r="C108" s="429" t="str">
        <f t="shared" si="8"/>
        <v>&gt;35-100</v>
      </c>
      <c r="D108" s="196" t="s">
        <v>2166</v>
      </c>
      <c r="E108" s="196">
        <v>250</v>
      </c>
      <c r="F108" s="196" t="s">
        <v>2164</v>
      </c>
      <c r="G108" s="276">
        <f>$G$10</f>
        <v>0</v>
      </c>
      <c r="H108" s="429" t="s">
        <v>828</v>
      </c>
      <c r="I108" s="277"/>
      <c r="J108" s="142"/>
      <c r="K108" s="146" t="s">
        <v>2708</v>
      </c>
      <c r="L108" s="146"/>
      <c r="M108" s="146"/>
      <c r="N108" s="146"/>
      <c r="O108" s="146"/>
      <c r="P108" s="146"/>
      <c r="Q108" s="146"/>
      <c r="R108" s="270"/>
    </row>
    <row r="109" spans="2:18" x14ac:dyDescent="0.2">
      <c r="B109" s="141"/>
      <c r="C109" s="196" t="str">
        <f>C97</f>
        <v>&gt;100-1000</v>
      </c>
      <c r="D109" s="196" t="s">
        <v>2166</v>
      </c>
      <c r="E109" s="196">
        <v>200</v>
      </c>
      <c r="F109" s="196" t="s">
        <v>2164</v>
      </c>
      <c r="G109" s="276">
        <f>$G$11</f>
        <v>0</v>
      </c>
      <c r="H109" s="278" t="str">
        <f>$H$11</f>
        <v>-</v>
      </c>
      <c r="I109" s="279"/>
      <c r="J109" s="146"/>
      <c r="K109" s="522" t="s">
        <v>2715</v>
      </c>
      <c r="L109" s="523"/>
      <c r="M109" s="523"/>
      <c r="N109" s="523"/>
      <c r="O109" s="523"/>
      <c r="P109" s="524"/>
      <c r="Q109" s="146"/>
      <c r="R109" s="270"/>
    </row>
    <row r="110" spans="2:18" x14ac:dyDescent="0.2">
      <c r="B110" s="141"/>
      <c r="C110" s="280"/>
      <c r="D110" s="280"/>
      <c r="E110" s="280"/>
      <c r="F110" s="280"/>
      <c r="G110" s="281"/>
      <c r="H110" s="282"/>
      <c r="I110" s="279"/>
      <c r="J110" s="146"/>
      <c r="K110" s="146"/>
      <c r="L110" s="146"/>
      <c r="M110" s="171"/>
      <c r="N110" s="146"/>
      <c r="O110" s="146"/>
      <c r="P110" s="146"/>
      <c r="Q110" s="146"/>
      <c r="R110" s="270"/>
    </row>
    <row r="111" spans="2:18" x14ac:dyDescent="0.2">
      <c r="B111" s="283" t="s">
        <v>1643</v>
      </c>
      <c r="C111" s="146"/>
      <c r="D111" s="141"/>
      <c r="E111" s="141"/>
      <c r="F111" s="146"/>
      <c r="G111" s="146"/>
      <c r="H111" s="146"/>
      <c r="I111" s="186"/>
      <c r="J111" s="146"/>
      <c r="K111" s="146"/>
      <c r="L111" s="146"/>
      <c r="M111" s="171"/>
      <c r="N111" s="146"/>
      <c r="O111" s="146"/>
      <c r="P111" s="146"/>
      <c r="Q111" s="146"/>
      <c r="R111" s="270"/>
    </row>
    <row r="112" spans="2:18" x14ac:dyDescent="0.2">
      <c r="B112" s="146" t="str">
        <f>Eingabe!I217</f>
        <v>Landesförderung max. 30% der Investkosten 250€/kWp bis 100kWp, 200€/kWp von 100 bis 500kWp</v>
      </c>
      <c r="C112" s="146"/>
      <c r="D112" s="146"/>
      <c r="E112" s="146"/>
      <c r="F112" s="146"/>
      <c r="G112" s="146"/>
      <c r="H112" s="146"/>
      <c r="I112" s="186"/>
      <c r="J112" s="146"/>
      <c r="K112" s="146"/>
      <c r="L112" s="146"/>
      <c r="M112" s="171"/>
      <c r="N112" s="146"/>
      <c r="O112" s="146"/>
      <c r="P112" s="146"/>
      <c r="Q112" s="146"/>
      <c r="R112" s="270"/>
    </row>
    <row r="113" spans="2:18" x14ac:dyDescent="0.2">
      <c r="B113" s="141"/>
      <c r="C113" s="280"/>
      <c r="D113" s="280"/>
      <c r="E113" s="280"/>
      <c r="F113" s="280"/>
      <c r="G113" s="281"/>
      <c r="H113" s="282"/>
      <c r="I113" s="279"/>
      <c r="J113" s="146"/>
      <c r="K113" s="146"/>
      <c r="L113" s="146"/>
      <c r="M113" s="171"/>
      <c r="N113" s="146"/>
      <c r="O113" s="146"/>
      <c r="P113" s="146"/>
      <c r="Q113" s="146"/>
      <c r="R113" s="270"/>
    </row>
    <row r="117" spans="2:18" x14ac:dyDescent="0.2">
      <c r="K117" s="95"/>
    </row>
  </sheetData>
  <sheetProtection algorithmName="SHA-512" hashValue="YmC68ArNWg39VcDYNOLEFzBdLNJrUBCQomxrqnfjqLb7eW3RC8wyibZ6zgS3tqsrWilB3vxD1s/ZHZdAsSYsQw==" saltValue="rRsLQQ8ryNkXJJ2XGkUBCQ==" spinCount="100000" sheet="1" selectLockedCells="1"/>
  <mergeCells count="38">
    <mergeCell ref="S5:AB5"/>
    <mergeCell ref="G6:H6"/>
    <mergeCell ref="C6:D6"/>
    <mergeCell ref="E6:F6"/>
    <mergeCell ref="T36:V36"/>
    <mergeCell ref="T33:V33"/>
    <mergeCell ref="E30:F30"/>
    <mergeCell ref="S7:AB31"/>
    <mergeCell ref="K19:P19"/>
    <mergeCell ref="K23:P23"/>
    <mergeCell ref="E42:F42"/>
    <mergeCell ref="C42:D42"/>
    <mergeCell ref="C18:D18"/>
    <mergeCell ref="E18:F18"/>
    <mergeCell ref="G18:H18"/>
    <mergeCell ref="G30:H30"/>
    <mergeCell ref="C30:D30"/>
    <mergeCell ref="G42:H42"/>
    <mergeCell ref="K59:P59"/>
    <mergeCell ref="G68:H68"/>
    <mergeCell ref="K55:P55"/>
    <mergeCell ref="T39:W39"/>
    <mergeCell ref="K105:P105"/>
    <mergeCell ref="K109:P109"/>
    <mergeCell ref="C104:D104"/>
    <mergeCell ref="E104:F104"/>
    <mergeCell ref="G104:H104"/>
    <mergeCell ref="G80:H80"/>
    <mergeCell ref="C54:D54"/>
    <mergeCell ref="E54:F54"/>
    <mergeCell ref="G54:H54"/>
    <mergeCell ref="C92:D92"/>
    <mergeCell ref="E92:F92"/>
    <mergeCell ref="G92:H92"/>
    <mergeCell ref="C80:D80"/>
    <mergeCell ref="E80:F80"/>
    <mergeCell ref="C68:D68"/>
    <mergeCell ref="E68:F68"/>
  </mergeCells>
  <phoneticPr fontId="2" type="noConversion"/>
  <hyperlinks>
    <hyperlink ref="K55" r:id="rId1" xr:uid="{00000000-0004-0000-0500-000000000000}"/>
    <hyperlink ref="K59" r:id="rId2" xr:uid="{00000000-0004-0000-0500-000001000000}"/>
    <hyperlink ref="K19" r:id="rId3" location="search=photovoltaik" xr:uid="{00000000-0004-0000-0500-000002000000}"/>
    <hyperlink ref="K23" r:id="rId4" location="search=photovoltaik" xr:uid="{00000000-0004-0000-0500-000003000000}"/>
    <hyperlink ref="K105" r:id="rId5" xr:uid="{00000000-0004-0000-0500-000004000000}"/>
    <hyperlink ref="K109" r:id="rId6" xr:uid="{00000000-0004-0000-0500-000005000000}"/>
    <hyperlink ref="AF5" r:id="rId7" xr:uid="{00000000-0004-0000-0500-000006000000}"/>
    <hyperlink ref="AF6" r:id="rId8" xr:uid="{00000000-0004-0000-0500-000007000000}"/>
    <hyperlink ref="AF7" r:id="rId9" xr:uid="{BC96F3F2-E431-479B-9BE5-392209FDD78D}"/>
  </hyperlinks>
  <printOptions horizontalCentered="1"/>
  <pageMargins left="0.59055118110236227" right="0.59055118110236227" top="0.59055118110236227" bottom="0.59055118110236227" header="0.51181102362204722" footer="0.51181102362204722"/>
  <pageSetup paperSize="9" scale="55" orientation="portrait" r:id="rId10"/>
  <headerFooter alignWithMargins="0"/>
  <colBreaks count="1" manualBreakCount="1">
    <brk id="18" max="1048575" man="1"/>
  </colBreaks>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indexed="22"/>
  </sheetPr>
  <dimension ref="A1:M54"/>
  <sheetViews>
    <sheetView zoomScale="75" zoomScaleNormal="75" workbookViewId="0">
      <selection activeCell="N10" sqref="N10"/>
    </sheetView>
  </sheetViews>
  <sheetFormatPr baseColWidth="10" defaultColWidth="11.28515625" defaultRowHeight="12.75" x14ac:dyDescent="0.2"/>
  <cols>
    <col min="1" max="1" width="24" style="1" bestFit="1" customWidth="1"/>
    <col min="2" max="3" width="6.28515625" style="2" bestFit="1" customWidth="1"/>
    <col min="4" max="4" width="23.140625" style="1" customWidth="1"/>
    <col min="5" max="5" width="23.28515625" style="1" bestFit="1" customWidth="1"/>
    <col min="6" max="6" width="28" style="1" bestFit="1" customWidth="1"/>
    <col min="7" max="7" width="12.7109375" style="1" bestFit="1" customWidth="1"/>
    <col min="8" max="8" width="12.85546875" style="1" bestFit="1" customWidth="1"/>
    <col min="9" max="9" width="29.140625" style="1" customWidth="1"/>
    <col min="10" max="10" width="11.28515625" style="1"/>
    <col min="11" max="11" width="13" style="1" customWidth="1"/>
    <col min="12" max="12" width="8.85546875" style="1" customWidth="1"/>
    <col min="13" max="13" width="9.85546875" style="1" customWidth="1"/>
    <col min="14" max="16384" width="11.28515625" style="1"/>
  </cols>
  <sheetData>
    <row r="1" spans="1:13" x14ac:dyDescent="0.2">
      <c r="A1" s="106" t="s">
        <v>100</v>
      </c>
      <c r="B1" s="107" t="s">
        <v>101</v>
      </c>
      <c r="C1" s="107" t="s">
        <v>102</v>
      </c>
      <c r="D1" s="107" t="s">
        <v>103</v>
      </c>
      <c r="E1" s="107" t="s">
        <v>104</v>
      </c>
      <c r="F1" s="107" t="s">
        <v>105</v>
      </c>
      <c r="G1" s="107" t="s">
        <v>106</v>
      </c>
      <c r="H1" s="107" t="s">
        <v>107</v>
      </c>
      <c r="I1" s="108" t="s">
        <v>108</v>
      </c>
    </row>
    <row r="2" spans="1:13" ht="13.5" thickBot="1" x14ac:dyDescent="0.25">
      <c r="A2" s="109"/>
      <c r="B2" s="110"/>
      <c r="C2" s="110"/>
      <c r="D2" s="110"/>
      <c r="E2" s="110" t="s">
        <v>109</v>
      </c>
      <c r="F2" s="110" t="s">
        <v>110</v>
      </c>
      <c r="G2" s="110" t="s">
        <v>111</v>
      </c>
      <c r="H2" s="110" t="s">
        <v>111</v>
      </c>
      <c r="I2" s="111"/>
      <c r="J2" s="82"/>
    </row>
    <row r="3" spans="1:13" x14ac:dyDescent="0.2">
      <c r="A3" s="17" t="s">
        <v>112</v>
      </c>
      <c r="B3" s="18">
        <v>8911</v>
      </c>
      <c r="C3" s="18" t="s">
        <v>113</v>
      </c>
      <c r="D3" s="18">
        <f t="shared" ref="D3:D34" si="0">IF(B3&gt;$L$3,B3-$L$3,$L$3-B3)</f>
        <v>4511</v>
      </c>
      <c r="E3" s="19">
        <v>1028.32</v>
      </c>
      <c r="F3" s="18" t="s">
        <v>114</v>
      </c>
      <c r="G3" s="18" t="s">
        <v>115</v>
      </c>
      <c r="H3" s="18" t="s">
        <v>116</v>
      </c>
      <c r="I3" s="20">
        <f t="shared" ref="I3:I34" si="1">IF($L$4=D3,E3,0)</f>
        <v>0</v>
      </c>
      <c r="J3" s="82">
        <f>IF(I3=0,0,1)</f>
        <v>0</v>
      </c>
      <c r="K3" s="21" t="s">
        <v>96</v>
      </c>
      <c r="L3" s="22">
        <f>Eingabe!H12</f>
        <v>4400</v>
      </c>
      <c r="M3" s="23"/>
    </row>
    <row r="4" spans="1:13" x14ac:dyDescent="0.2">
      <c r="A4" s="24" t="s">
        <v>118</v>
      </c>
      <c r="B4" s="25">
        <v>3300</v>
      </c>
      <c r="C4" s="25" t="s">
        <v>113</v>
      </c>
      <c r="D4" s="25">
        <f t="shared" si="0"/>
        <v>1100</v>
      </c>
      <c r="E4" s="26">
        <v>1069.0999999999999</v>
      </c>
      <c r="F4" s="25" t="s">
        <v>119</v>
      </c>
      <c r="G4" s="25" t="s">
        <v>120</v>
      </c>
      <c r="H4" s="25" t="s">
        <v>121</v>
      </c>
      <c r="I4" s="27">
        <f t="shared" si="1"/>
        <v>0</v>
      </c>
      <c r="J4" s="82">
        <f t="shared" ref="J4:J53" si="2">IF(I4=0,0,1)</f>
        <v>0</v>
      </c>
      <c r="K4" s="28" t="s">
        <v>117</v>
      </c>
      <c r="L4" s="29">
        <f>MIN(D3:D53)</f>
        <v>62</v>
      </c>
      <c r="M4" s="30"/>
    </row>
    <row r="5" spans="1:13" ht="13.5" thickBot="1" x14ac:dyDescent="0.25">
      <c r="A5" s="24" t="s">
        <v>123</v>
      </c>
      <c r="B5" s="25">
        <v>9543</v>
      </c>
      <c r="C5" s="25" t="s">
        <v>113</v>
      </c>
      <c r="D5" s="25">
        <f t="shared" si="0"/>
        <v>5143</v>
      </c>
      <c r="E5" s="26">
        <v>1144.54</v>
      </c>
      <c r="F5" s="25" t="s">
        <v>124</v>
      </c>
      <c r="G5" s="25" t="s">
        <v>125</v>
      </c>
      <c r="H5" s="25" t="s">
        <v>126</v>
      </c>
      <c r="I5" s="27">
        <f t="shared" si="1"/>
        <v>0</v>
      </c>
      <c r="J5" s="82">
        <f t="shared" si="2"/>
        <v>0</v>
      </c>
      <c r="K5" s="31" t="s">
        <v>122</v>
      </c>
      <c r="L5" s="32">
        <f>ROUNDDOWN(K54,-0.5)</f>
        <v>1068</v>
      </c>
      <c r="M5" s="33" t="s">
        <v>97</v>
      </c>
    </row>
    <row r="6" spans="1:13" x14ac:dyDescent="0.2">
      <c r="A6" s="24" t="s">
        <v>127</v>
      </c>
      <c r="B6" s="25">
        <v>8344</v>
      </c>
      <c r="C6" s="25" t="s">
        <v>113</v>
      </c>
      <c r="D6" s="25">
        <f t="shared" si="0"/>
        <v>3944</v>
      </c>
      <c r="E6" s="26">
        <v>1153.19</v>
      </c>
      <c r="F6" s="25" t="s">
        <v>128</v>
      </c>
      <c r="G6" s="25" t="s">
        <v>129</v>
      </c>
      <c r="H6" s="25" t="s">
        <v>130</v>
      </c>
      <c r="I6" s="27">
        <f t="shared" si="1"/>
        <v>0</v>
      </c>
      <c r="J6" s="82">
        <f t="shared" si="2"/>
        <v>0</v>
      </c>
    </row>
    <row r="7" spans="1:13" x14ac:dyDescent="0.2">
      <c r="A7" s="24" t="s">
        <v>131</v>
      </c>
      <c r="B7" s="25">
        <v>4820</v>
      </c>
      <c r="C7" s="25" t="s">
        <v>113</v>
      </c>
      <c r="D7" s="25">
        <f t="shared" si="0"/>
        <v>420</v>
      </c>
      <c r="E7" s="26">
        <v>1093.31</v>
      </c>
      <c r="F7" s="25" t="s">
        <v>132</v>
      </c>
      <c r="G7" s="25" t="s">
        <v>133</v>
      </c>
      <c r="H7" s="25" t="s">
        <v>134</v>
      </c>
      <c r="I7" s="27">
        <f t="shared" si="1"/>
        <v>0</v>
      </c>
      <c r="J7" s="82">
        <f t="shared" si="2"/>
        <v>0</v>
      </c>
    </row>
    <row r="8" spans="1:13" x14ac:dyDescent="0.2">
      <c r="A8" s="24" t="s">
        <v>135</v>
      </c>
      <c r="B8" s="25">
        <v>6700</v>
      </c>
      <c r="C8" s="25" t="s">
        <v>113</v>
      </c>
      <c r="D8" s="25">
        <f t="shared" si="0"/>
        <v>2300</v>
      </c>
      <c r="E8" s="26">
        <v>1079.79</v>
      </c>
      <c r="F8" s="25" t="s">
        <v>136</v>
      </c>
      <c r="G8" s="25" t="s">
        <v>137</v>
      </c>
      <c r="H8" s="25" t="s">
        <v>138</v>
      </c>
      <c r="I8" s="27">
        <f t="shared" si="1"/>
        <v>0</v>
      </c>
      <c r="J8" s="82">
        <f t="shared" si="2"/>
        <v>0</v>
      </c>
    </row>
    <row r="9" spans="1:13" x14ac:dyDescent="0.2">
      <c r="A9" s="24" t="s">
        <v>139</v>
      </c>
      <c r="B9" s="25">
        <v>8600</v>
      </c>
      <c r="C9" s="25" t="s">
        <v>113</v>
      </c>
      <c r="D9" s="25">
        <f t="shared" si="0"/>
        <v>4200</v>
      </c>
      <c r="E9" s="26">
        <v>1070.77</v>
      </c>
      <c r="F9" s="25" t="s">
        <v>140</v>
      </c>
      <c r="G9" s="25" t="s">
        <v>141</v>
      </c>
      <c r="H9" s="25" t="s">
        <v>142</v>
      </c>
      <c r="I9" s="27">
        <f t="shared" si="1"/>
        <v>0</v>
      </c>
      <c r="J9" s="82">
        <f t="shared" si="2"/>
        <v>0</v>
      </c>
    </row>
    <row r="10" spans="1:13" x14ac:dyDescent="0.2">
      <c r="A10" s="24" t="s">
        <v>143</v>
      </c>
      <c r="B10" s="25">
        <v>8790</v>
      </c>
      <c r="C10" s="25" t="s">
        <v>113</v>
      </c>
      <c r="D10" s="25">
        <f t="shared" si="0"/>
        <v>4390</v>
      </c>
      <c r="E10" s="26">
        <v>1071.43</v>
      </c>
      <c r="F10" s="25" t="s">
        <v>145</v>
      </c>
      <c r="G10" s="25" t="s">
        <v>146</v>
      </c>
      <c r="H10" s="25" t="s">
        <v>147</v>
      </c>
      <c r="I10" s="27">
        <f t="shared" si="1"/>
        <v>0</v>
      </c>
      <c r="J10" s="82">
        <f t="shared" si="2"/>
        <v>0</v>
      </c>
    </row>
    <row r="11" spans="1:13" x14ac:dyDescent="0.2">
      <c r="A11" s="24" t="s">
        <v>148</v>
      </c>
      <c r="B11" s="25">
        <v>7000</v>
      </c>
      <c r="C11" s="25" t="s">
        <v>113</v>
      </c>
      <c r="D11" s="25">
        <f t="shared" si="0"/>
        <v>2600</v>
      </c>
      <c r="E11" s="26">
        <v>1132.17</v>
      </c>
      <c r="F11" s="25" t="s">
        <v>149</v>
      </c>
      <c r="G11" s="25" t="s">
        <v>150</v>
      </c>
      <c r="H11" s="25" t="s">
        <v>151</v>
      </c>
      <c r="I11" s="27">
        <f t="shared" si="1"/>
        <v>0</v>
      </c>
      <c r="J11" s="82">
        <f t="shared" si="2"/>
        <v>0</v>
      </c>
    </row>
    <row r="12" spans="1:13" x14ac:dyDescent="0.2">
      <c r="A12" s="24" t="s">
        <v>152</v>
      </c>
      <c r="B12" s="25">
        <v>6800</v>
      </c>
      <c r="C12" s="25" t="s">
        <v>113</v>
      </c>
      <c r="D12" s="25">
        <f t="shared" si="0"/>
        <v>2400</v>
      </c>
      <c r="E12" s="26">
        <v>1100.3800000000001</v>
      </c>
      <c r="F12" s="25" t="s">
        <v>153</v>
      </c>
      <c r="G12" s="25" t="s">
        <v>154</v>
      </c>
      <c r="H12" s="25" t="s">
        <v>155</v>
      </c>
      <c r="I12" s="27">
        <f t="shared" si="1"/>
        <v>0</v>
      </c>
      <c r="J12" s="82">
        <f t="shared" si="2"/>
        <v>0</v>
      </c>
    </row>
    <row r="13" spans="1:13" x14ac:dyDescent="0.2">
      <c r="A13" s="24" t="s">
        <v>156</v>
      </c>
      <c r="B13" s="25">
        <v>9170</v>
      </c>
      <c r="C13" s="25" t="s">
        <v>113</v>
      </c>
      <c r="D13" s="25">
        <f t="shared" si="0"/>
        <v>4770</v>
      </c>
      <c r="E13" s="26">
        <v>1156.25</v>
      </c>
      <c r="F13" s="25" t="s">
        <v>157</v>
      </c>
      <c r="G13" s="25" t="s">
        <v>158</v>
      </c>
      <c r="H13" s="25" t="s">
        <v>159</v>
      </c>
      <c r="I13" s="27">
        <f t="shared" si="1"/>
        <v>0</v>
      </c>
      <c r="J13" s="82">
        <f t="shared" si="2"/>
        <v>0</v>
      </c>
    </row>
    <row r="14" spans="1:13" x14ac:dyDescent="0.2">
      <c r="A14" s="24" t="s">
        <v>162</v>
      </c>
      <c r="B14" s="25">
        <v>9712</v>
      </c>
      <c r="C14" s="25" t="s">
        <v>113</v>
      </c>
      <c r="D14" s="25">
        <f t="shared" si="0"/>
        <v>5312</v>
      </c>
      <c r="E14" s="26">
        <v>1207.3599999999999</v>
      </c>
      <c r="F14" s="25" t="s">
        <v>163</v>
      </c>
      <c r="G14" s="25" t="s">
        <v>164</v>
      </c>
      <c r="H14" s="25" t="s">
        <v>165</v>
      </c>
      <c r="I14" s="27">
        <f t="shared" si="1"/>
        <v>0</v>
      </c>
      <c r="J14" s="82">
        <f t="shared" si="2"/>
        <v>0</v>
      </c>
    </row>
    <row r="15" spans="1:13" x14ac:dyDescent="0.2">
      <c r="A15" s="24" t="s">
        <v>166</v>
      </c>
      <c r="B15" s="25">
        <v>6787</v>
      </c>
      <c r="C15" s="25" t="s">
        <v>113</v>
      </c>
      <c r="D15" s="25">
        <f t="shared" si="0"/>
        <v>2387</v>
      </c>
      <c r="E15" s="26">
        <v>1174.51</v>
      </c>
      <c r="F15" s="25" t="s">
        <v>167</v>
      </c>
      <c r="G15" s="25" t="s">
        <v>168</v>
      </c>
      <c r="H15" s="25" t="s">
        <v>169</v>
      </c>
      <c r="I15" s="27">
        <f t="shared" si="1"/>
        <v>0</v>
      </c>
      <c r="J15" s="82">
        <f t="shared" si="2"/>
        <v>0</v>
      </c>
    </row>
    <row r="16" spans="1:13" x14ac:dyDescent="0.2">
      <c r="A16" s="24" t="s">
        <v>170</v>
      </c>
      <c r="B16" s="25">
        <v>4810</v>
      </c>
      <c r="C16" s="25" t="s">
        <v>113</v>
      </c>
      <c r="D16" s="25">
        <f t="shared" si="0"/>
        <v>410</v>
      </c>
      <c r="E16" s="26">
        <v>1088.42</v>
      </c>
      <c r="F16" s="25" t="s">
        <v>171</v>
      </c>
      <c r="G16" s="25" t="s">
        <v>172</v>
      </c>
      <c r="H16" s="25" t="s">
        <v>173</v>
      </c>
      <c r="I16" s="27">
        <f t="shared" si="1"/>
        <v>0</v>
      </c>
      <c r="J16" s="82">
        <f t="shared" si="2"/>
        <v>0</v>
      </c>
    </row>
    <row r="17" spans="1:10" x14ac:dyDescent="0.2">
      <c r="A17" s="24" t="s">
        <v>174</v>
      </c>
      <c r="B17" s="25">
        <v>8010</v>
      </c>
      <c r="C17" s="25" t="s">
        <v>113</v>
      </c>
      <c r="D17" s="25">
        <f t="shared" si="0"/>
        <v>3610</v>
      </c>
      <c r="E17" s="26">
        <v>1126.02</v>
      </c>
      <c r="F17" s="25" t="s">
        <v>175</v>
      </c>
      <c r="G17" s="25" t="s">
        <v>176</v>
      </c>
      <c r="H17" s="25" t="s">
        <v>177</v>
      </c>
      <c r="I17" s="27">
        <f t="shared" si="1"/>
        <v>0</v>
      </c>
      <c r="J17" s="82">
        <f t="shared" si="2"/>
        <v>0</v>
      </c>
    </row>
    <row r="18" spans="1:10" x14ac:dyDescent="0.2">
      <c r="A18" s="24" t="s">
        <v>178</v>
      </c>
      <c r="B18" s="25">
        <v>2352</v>
      </c>
      <c r="C18" s="25" t="s">
        <v>113</v>
      </c>
      <c r="D18" s="25">
        <f t="shared" si="0"/>
        <v>2048</v>
      </c>
      <c r="E18" s="26">
        <v>1125.22</v>
      </c>
      <c r="F18" s="25" t="s">
        <v>179</v>
      </c>
      <c r="G18" s="25" t="s">
        <v>180</v>
      </c>
      <c r="H18" s="25" t="s">
        <v>181</v>
      </c>
      <c r="I18" s="27">
        <f t="shared" si="1"/>
        <v>0</v>
      </c>
      <c r="J18" s="82">
        <f t="shared" si="2"/>
        <v>0</v>
      </c>
    </row>
    <row r="19" spans="1:10" x14ac:dyDescent="0.2">
      <c r="A19" s="24" t="s">
        <v>182</v>
      </c>
      <c r="B19" s="25">
        <v>4830</v>
      </c>
      <c r="C19" s="25" t="s">
        <v>113</v>
      </c>
      <c r="D19" s="25">
        <f t="shared" si="0"/>
        <v>430</v>
      </c>
      <c r="E19" s="26">
        <v>1054.8</v>
      </c>
      <c r="F19" s="25" t="s">
        <v>183</v>
      </c>
      <c r="G19" s="25" t="s">
        <v>184</v>
      </c>
      <c r="H19" s="25" t="s">
        <v>185</v>
      </c>
      <c r="I19" s="27">
        <f t="shared" si="1"/>
        <v>0</v>
      </c>
      <c r="J19" s="82">
        <f t="shared" si="2"/>
        <v>0</v>
      </c>
    </row>
    <row r="20" spans="1:10" x14ac:dyDescent="0.2">
      <c r="A20" s="24" t="s">
        <v>186</v>
      </c>
      <c r="B20" s="25">
        <v>6460</v>
      </c>
      <c r="C20" s="25" t="s">
        <v>113</v>
      </c>
      <c r="D20" s="25">
        <f t="shared" si="0"/>
        <v>2060</v>
      </c>
      <c r="E20" s="26">
        <v>1069.1099999999999</v>
      </c>
      <c r="F20" s="25" t="s">
        <v>187</v>
      </c>
      <c r="G20" s="25" t="s">
        <v>188</v>
      </c>
      <c r="H20" s="25" t="s">
        <v>155</v>
      </c>
      <c r="I20" s="27">
        <f t="shared" si="1"/>
        <v>0</v>
      </c>
      <c r="J20" s="82">
        <f t="shared" si="2"/>
        <v>0</v>
      </c>
    </row>
    <row r="21" spans="1:10" x14ac:dyDescent="0.2">
      <c r="A21" s="24" t="s">
        <v>189</v>
      </c>
      <c r="B21" s="25">
        <v>6020</v>
      </c>
      <c r="C21" s="25" t="s">
        <v>113</v>
      </c>
      <c r="D21" s="25">
        <f t="shared" si="0"/>
        <v>1620</v>
      </c>
      <c r="E21" s="26">
        <v>1089.72</v>
      </c>
      <c r="F21" s="25" t="s">
        <v>190</v>
      </c>
      <c r="G21" s="25" t="s">
        <v>191</v>
      </c>
      <c r="H21" s="25" t="s">
        <v>192</v>
      </c>
      <c r="I21" s="27">
        <f t="shared" si="1"/>
        <v>0</v>
      </c>
      <c r="J21" s="82">
        <f t="shared" si="2"/>
        <v>0</v>
      </c>
    </row>
    <row r="22" spans="1:10" x14ac:dyDescent="0.2">
      <c r="A22" s="24" t="s">
        <v>193</v>
      </c>
      <c r="B22" s="25">
        <v>6370</v>
      </c>
      <c r="C22" s="25" t="s">
        <v>113</v>
      </c>
      <c r="D22" s="25">
        <f t="shared" si="0"/>
        <v>1970</v>
      </c>
      <c r="E22" s="26">
        <v>1069.8800000000001</v>
      </c>
      <c r="F22" s="25" t="s">
        <v>194</v>
      </c>
      <c r="G22" s="25" t="s">
        <v>195</v>
      </c>
      <c r="H22" s="25" t="s">
        <v>196</v>
      </c>
      <c r="I22" s="27">
        <f t="shared" si="1"/>
        <v>0</v>
      </c>
      <c r="J22" s="82">
        <f t="shared" si="2"/>
        <v>0</v>
      </c>
    </row>
    <row r="23" spans="1:10" x14ac:dyDescent="0.2">
      <c r="A23" s="24" t="s">
        <v>197</v>
      </c>
      <c r="B23" s="25">
        <v>9010</v>
      </c>
      <c r="C23" s="25" t="s">
        <v>113</v>
      </c>
      <c r="D23" s="25">
        <f t="shared" si="0"/>
        <v>4610</v>
      </c>
      <c r="E23" s="26">
        <v>1131</v>
      </c>
      <c r="F23" s="25" t="s">
        <v>198</v>
      </c>
      <c r="G23" s="25" t="s">
        <v>199</v>
      </c>
      <c r="H23" s="25" t="s">
        <v>200</v>
      </c>
      <c r="I23" s="27">
        <f t="shared" si="1"/>
        <v>0</v>
      </c>
      <c r="J23" s="82">
        <f t="shared" si="2"/>
        <v>0</v>
      </c>
    </row>
    <row r="24" spans="1:10" x14ac:dyDescent="0.2">
      <c r="A24" s="24" t="s">
        <v>201</v>
      </c>
      <c r="B24" s="25">
        <v>3500</v>
      </c>
      <c r="C24" s="25" t="s">
        <v>113</v>
      </c>
      <c r="D24" s="25">
        <f t="shared" si="0"/>
        <v>900</v>
      </c>
      <c r="E24" s="26">
        <v>1071.4000000000001</v>
      </c>
      <c r="F24" s="25" t="s">
        <v>202</v>
      </c>
      <c r="G24" s="25" t="s">
        <v>203</v>
      </c>
      <c r="H24" s="25" t="s">
        <v>138</v>
      </c>
      <c r="I24" s="27">
        <f t="shared" si="1"/>
        <v>0</v>
      </c>
      <c r="J24" s="82">
        <f t="shared" si="2"/>
        <v>0</v>
      </c>
    </row>
    <row r="25" spans="1:10" x14ac:dyDescent="0.2">
      <c r="A25" s="24" t="s">
        <v>204</v>
      </c>
      <c r="B25" s="25">
        <v>4550</v>
      </c>
      <c r="C25" s="25" t="s">
        <v>113</v>
      </c>
      <c r="D25" s="25">
        <f t="shared" si="0"/>
        <v>150</v>
      </c>
      <c r="E25" s="26">
        <v>1046.5</v>
      </c>
      <c r="F25" s="25" t="s">
        <v>205</v>
      </c>
      <c r="G25" s="25" t="s">
        <v>206</v>
      </c>
      <c r="H25" s="25" t="s">
        <v>207</v>
      </c>
      <c r="I25" s="27">
        <f t="shared" si="1"/>
        <v>0</v>
      </c>
      <c r="J25" s="82">
        <f t="shared" si="2"/>
        <v>0</v>
      </c>
    </row>
    <row r="26" spans="1:10" x14ac:dyDescent="0.2">
      <c r="A26" s="24" t="s">
        <v>208</v>
      </c>
      <c r="B26" s="25">
        <v>8700</v>
      </c>
      <c r="C26" s="25" t="s">
        <v>113</v>
      </c>
      <c r="D26" s="25">
        <f t="shared" si="0"/>
        <v>4300</v>
      </c>
      <c r="E26" s="26">
        <v>1068.49</v>
      </c>
      <c r="F26" s="25" t="s">
        <v>153</v>
      </c>
      <c r="G26" s="25" t="s">
        <v>209</v>
      </c>
      <c r="H26" s="25" t="s">
        <v>210</v>
      </c>
      <c r="I26" s="27">
        <f t="shared" si="1"/>
        <v>0</v>
      </c>
      <c r="J26" s="82">
        <f t="shared" si="2"/>
        <v>0</v>
      </c>
    </row>
    <row r="27" spans="1:10" x14ac:dyDescent="0.2">
      <c r="A27" s="24" t="s">
        <v>211</v>
      </c>
      <c r="B27" s="25">
        <v>9900</v>
      </c>
      <c r="C27" s="25" t="s">
        <v>113</v>
      </c>
      <c r="D27" s="25">
        <f t="shared" si="0"/>
        <v>5500</v>
      </c>
      <c r="E27" s="26">
        <v>1147.74</v>
      </c>
      <c r="F27" s="25" t="s">
        <v>212</v>
      </c>
      <c r="G27" s="25" t="s">
        <v>213</v>
      </c>
      <c r="H27" s="25" t="s">
        <v>214</v>
      </c>
      <c r="I27" s="27">
        <f t="shared" si="1"/>
        <v>0</v>
      </c>
      <c r="J27" s="82">
        <f t="shared" si="2"/>
        <v>0</v>
      </c>
    </row>
    <row r="28" spans="1:10" x14ac:dyDescent="0.2">
      <c r="A28" s="24" t="s">
        <v>215</v>
      </c>
      <c r="B28" s="25">
        <v>3180</v>
      </c>
      <c r="C28" s="25" t="s">
        <v>113</v>
      </c>
      <c r="D28" s="25">
        <f t="shared" si="0"/>
        <v>1220</v>
      </c>
      <c r="E28" s="26">
        <v>1075.26</v>
      </c>
      <c r="F28" s="25" t="s">
        <v>216</v>
      </c>
      <c r="G28" s="25" t="s">
        <v>217</v>
      </c>
      <c r="H28" s="25" t="s">
        <v>218</v>
      </c>
      <c r="I28" s="27">
        <f t="shared" si="1"/>
        <v>0</v>
      </c>
      <c r="J28" s="82">
        <f t="shared" si="2"/>
        <v>0</v>
      </c>
    </row>
    <row r="29" spans="1:10" x14ac:dyDescent="0.2">
      <c r="A29" s="24" t="s">
        <v>219</v>
      </c>
      <c r="B29" s="25">
        <v>9872</v>
      </c>
      <c r="C29" s="25" t="s">
        <v>113</v>
      </c>
      <c r="D29" s="25">
        <f t="shared" si="0"/>
        <v>5472</v>
      </c>
      <c r="E29" s="26">
        <v>1189.53</v>
      </c>
      <c r="F29" s="25" t="s">
        <v>220</v>
      </c>
      <c r="G29" s="25" t="s">
        <v>221</v>
      </c>
      <c r="H29" s="25" t="s">
        <v>222</v>
      </c>
      <c r="I29" s="27">
        <f t="shared" si="1"/>
        <v>0</v>
      </c>
      <c r="J29" s="82">
        <f t="shared" si="2"/>
        <v>0</v>
      </c>
    </row>
    <row r="30" spans="1:10" x14ac:dyDescent="0.2">
      <c r="A30" s="24" t="s">
        <v>223</v>
      </c>
      <c r="B30" s="25">
        <v>5310</v>
      </c>
      <c r="C30" s="25" t="s">
        <v>113</v>
      </c>
      <c r="D30" s="25">
        <f t="shared" si="0"/>
        <v>910</v>
      </c>
      <c r="E30" s="26">
        <v>1046.56</v>
      </c>
      <c r="F30" s="25" t="s">
        <v>224</v>
      </c>
      <c r="G30" s="25" t="s">
        <v>225</v>
      </c>
      <c r="H30" s="25" t="s">
        <v>226</v>
      </c>
      <c r="I30" s="27">
        <f t="shared" si="1"/>
        <v>0</v>
      </c>
      <c r="J30" s="82">
        <f t="shared" si="2"/>
        <v>0</v>
      </c>
    </row>
    <row r="31" spans="1:10" x14ac:dyDescent="0.2">
      <c r="A31" s="24" t="s">
        <v>227</v>
      </c>
      <c r="B31" s="25">
        <v>2872</v>
      </c>
      <c r="C31" s="25" t="s">
        <v>113</v>
      </c>
      <c r="D31" s="25">
        <f t="shared" si="0"/>
        <v>1528</v>
      </c>
      <c r="E31" s="26">
        <v>1083.3</v>
      </c>
      <c r="F31" s="25" t="s">
        <v>228</v>
      </c>
      <c r="G31" s="25" t="s">
        <v>229</v>
      </c>
      <c r="H31" s="25" t="s">
        <v>230</v>
      </c>
      <c r="I31" s="27">
        <f t="shared" si="1"/>
        <v>0</v>
      </c>
      <c r="J31" s="82">
        <f t="shared" si="2"/>
        <v>0</v>
      </c>
    </row>
    <row r="32" spans="1:10" x14ac:dyDescent="0.2">
      <c r="A32" s="24" t="s">
        <v>231</v>
      </c>
      <c r="B32" s="25">
        <v>6543</v>
      </c>
      <c r="C32" s="25" t="s">
        <v>113</v>
      </c>
      <c r="D32" s="25">
        <f t="shared" si="0"/>
        <v>2143</v>
      </c>
      <c r="E32" s="26">
        <v>1201.4100000000001</v>
      </c>
      <c r="F32" s="25" t="s">
        <v>232</v>
      </c>
      <c r="G32" s="25" t="s">
        <v>233</v>
      </c>
      <c r="H32" s="25" t="s">
        <v>234</v>
      </c>
      <c r="I32" s="27">
        <f t="shared" si="1"/>
        <v>0</v>
      </c>
      <c r="J32" s="82">
        <f t="shared" si="2"/>
        <v>0</v>
      </c>
    </row>
    <row r="33" spans="1:10" x14ac:dyDescent="0.2">
      <c r="A33" s="24" t="s">
        <v>235</v>
      </c>
      <c r="B33" s="25">
        <v>8820</v>
      </c>
      <c r="C33" s="25" t="s">
        <v>113</v>
      </c>
      <c r="D33" s="25">
        <f t="shared" si="0"/>
        <v>4420</v>
      </c>
      <c r="E33" s="26">
        <v>1161.95</v>
      </c>
      <c r="F33" s="25" t="s">
        <v>236</v>
      </c>
      <c r="G33" s="25" t="s">
        <v>237</v>
      </c>
      <c r="H33" s="25" t="s">
        <v>177</v>
      </c>
      <c r="I33" s="27">
        <f t="shared" si="1"/>
        <v>0</v>
      </c>
      <c r="J33" s="82">
        <f t="shared" si="2"/>
        <v>0</v>
      </c>
    </row>
    <row r="34" spans="1:10" x14ac:dyDescent="0.2">
      <c r="A34" s="24" t="s">
        <v>95</v>
      </c>
      <c r="B34" s="25">
        <v>9821</v>
      </c>
      <c r="C34" s="25" t="s">
        <v>113</v>
      </c>
      <c r="D34" s="25">
        <f t="shared" si="0"/>
        <v>5421</v>
      </c>
      <c r="E34" s="26">
        <v>1226.7</v>
      </c>
      <c r="F34" s="25" t="s">
        <v>238</v>
      </c>
      <c r="G34" s="25" t="s">
        <v>239</v>
      </c>
      <c r="H34" s="25" t="s">
        <v>240</v>
      </c>
      <c r="I34" s="27">
        <f t="shared" si="1"/>
        <v>0</v>
      </c>
      <c r="J34" s="82">
        <f t="shared" si="2"/>
        <v>0</v>
      </c>
    </row>
    <row r="35" spans="1:10" x14ac:dyDescent="0.2">
      <c r="A35" s="24" t="s">
        <v>241</v>
      </c>
      <c r="B35" s="25">
        <v>8832</v>
      </c>
      <c r="C35" s="25" t="s">
        <v>113</v>
      </c>
      <c r="D35" s="25">
        <f t="shared" ref="D35:D53" si="3">IF(B35&gt;$L$3,B35-$L$3,$L$3-B35)</f>
        <v>4432</v>
      </c>
      <c r="E35" s="26">
        <v>1107.8499999999999</v>
      </c>
      <c r="F35" s="25" t="s">
        <v>242</v>
      </c>
      <c r="G35" s="25" t="s">
        <v>243</v>
      </c>
      <c r="H35" s="25" t="s">
        <v>244</v>
      </c>
      <c r="I35" s="27">
        <f t="shared" ref="I35:I53" si="4">IF($L$4=D35,E35,0)</f>
        <v>0</v>
      </c>
      <c r="J35" s="82">
        <f t="shared" si="2"/>
        <v>0</v>
      </c>
    </row>
    <row r="36" spans="1:10" x14ac:dyDescent="0.2">
      <c r="A36" s="24" t="s">
        <v>245</v>
      </c>
      <c r="B36" s="25">
        <v>9545</v>
      </c>
      <c r="C36" s="25" t="s">
        <v>113</v>
      </c>
      <c r="D36" s="25">
        <f t="shared" si="3"/>
        <v>5145</v>
      </c>
      <c r="E36" s="26">
        <v>1133.1199999999999</v>
      </c>
      <c r="F36" s="25" t="s">
        <v>246</v>
      </c>
      <c r="G36" s="25" t="s">
        <v>247</v>
      </c>
      <c r="H36" s="25" t="s">
        <v>222</v>
      </c>
      <c r="I36" s="27">
        <f t="shared" si="4"/>
        <v>0</v>
      </c>
      <c r="J36" s="82">
        <f t="shared" si="2"/>
        <v>0</v>
      </c>
    </row>
    <row r="37" spans="1:10" x14ac:dyDescent="0.2">
      <c r="A37" s="24" t="s">
        <v>248</v>
      </c>
      <c r="B37" s="25">
        <v>8972</v>
      </c>
      <c r="C37" s="25" t="s">
        <v>113</v>
      </c>
      <c r="D37" s="25">
        <f t="shared" si="3"/>
        <v>4572</v>
      </c>
      <c r="E37" s="26">
        <v>1129.03</v>
      </c>
      <c r="F37" s="25" t="s">
        <v>249</v>
      </c>
      <c r="G37" s="25" t="s">
        <v>250</v>
      </c>
      <c r="H37" s="25" t="s">
        <v>251</v>
      </c>
      <c r="I37" s="27">
        <f t="shared" si="4"/>
        <v>0</v>
      </c>
      <c r="J37" s="82">
        <f t="shared" si="2"/>
        <v>0</v>
      </c>
    </row>
    <row r="38" spans="1:10" x14ac:dyDescent="0.2">
      <c r="A38" s="24" t="s">
        <v>252</v>
      </c>
      <c r="B38" s="25">
        <v>5661</v>
      </c>
      <c r="C38" s="25" t="s">
        <v>113</v>
      </c>
      <c r="D38" s="25">
        <f t="shared" si="3"/>
        <v>1261</v>
      </c>
      <c r="E38" s="26">
        <v>1124.1500000000001</v>
      </c>
      <c r="F38" s="25" t="s">
        <v>253</v>
      </c>
      <c r="G38" s="25" t="s">
        <v>254</v>
      </c>
      <c r="H38" s="25" t="s">
        <v>155</v>
      </c>
      <c r="I38" s="27">
        <f t="shared" si="4"/>
        <v>0</v>
      </c>
      <c r="J38" s="82">
        <f t="shared" si="2"/>
        <v>0</v>
      </c>
    </row>
    <row r="39" spans="1:10" x14ac:dyDescent="0.2">
      <c r="A39" s="24" t="s">
        <v>255</v>
      </c>
      <c r="B39" s="25">
        <v>4981</v>
      </c>
      <c r="C39" s="25" t="s">
        <v>113</v>
      </c>
      <c r="D39" s="25">
        <f t="shared" si="3"/>
        <v>581</v>
      </c>
      <c r="E39" s="26">
        <v>1037.3699999999999</v>
      </c>
      <c r="F39" s="25" t="s">
        <v>256</v>
      </c>
      <c r="G39" s="25" t="s">
        <v>257</v>
      </c>
      <c r="H39" s="25" t="s">
        <v>181</v>
      </c>
      <c r="I39" s="27">
        <f t="shared" si="4"/>
        <v>0</v>
      </c>
      <c r="J39" s="82">
        <f t="shared" si="2"/>
        <v>0</v>
      </c>
    </row>
    <row r="40" spans="1:10" x14ac:dyDescent="0.2">
      <c r="A40" s="24" t="s">
        <v>258</v>
      </c>
      <c r="B40" s="25">
        <v>4462</v>
      </c>
      <c r="C40" s="25" t="s">
        <v>113</v>
      </c>
      <c r="D40" s="25">
        <f t="shared" si="3"/>
        <v>62</v>
      </c>
      <c r="E40" s="26">
        <v>1068.82</v>
      </c>
      <c r="F40" s="25" t="s">
        <v>259</v>
      </c>
      <c r="G40" s="25" t="s">
        <v>115</v>
      </c>
      <c r="H40" s="25" t="s">
        <v>260</v>
      </c>
      <c r="I40" s="27">
        <f t="shared" si="4"/>
        <v>1068.82</v>
      </c>
      <c r="J40" s="82">
        <f t="shared" si="2"/>
        <v>1</v>
      </c>
    </row>
    <row r="41" spans="1:10" x14ac:dyDescent="0.2">
      <c r="A41" s="24" t="s">
        <v>261</v>
      </c>
      <c r="B41" s="25">
        <v>5020</v>
      </c>
      <c r="C41" s="25" t="s">
        <v>113</v>
      </c>
      <c r="D41" s="25">
        <f t="shared" si="3"/>
        <v>620</v>
      </c>
      <c r="E41" s="26">
        <v>1113.6099999999999</v>
      </c>
      <c r="F41" s="25" t="s">
        <v>262</v>
      </c>
      <c r="G41" s="25" t="s">
        <v>225</v>
      </c>
      <c r="H41" s="25" t="s">
        <v>263</v>
      </c>
      <c r="I41" s="27">
        <f t="shared" si="4"/>
        <v>0</v>
      </c>
      <c r="J41" s="82">
        <f t="shared" si="2"/>
        <v>0</v>
      </c>
    </row>
    <row r="42" spans="1:10" x14ac:dyDescent="0.2">
      <c r="A42" s="24" t="s">
        <v>264</v>
      </c>
      <c r="B42" s="25">
        <v>9654</v>
      </c>
      <c r="C42" s="25" t="s">
        <v>113</v>
      </c>
      <c r="D42" s="25">
        <f t="shared" si="3"/>
        <v>5254</v>
      </c>
      <c r="E42" s="26">
        <v>1217.1300000000001</v>
      </c>
      <c r="F42" s="25" t="s">
        <v>265</v>
      </c>
      <c r="G42" s="25" t="s">
        <v>266</v>
      </c>
      <c r="H42" s="25" t="s">
        <v>165</v>
      </c>
      <c r="I42" s="27">
        <f t="shared" si="4"/>
        <v>0</v>
      </c>
      <c r="J42" s="82">
        <f t="shared" si="2"/>
        <v>0</v>
      </c>
    </row>
    <row r="43" spans="1:10" x14ac:dyDescent="0.2">
      <c r="A43" s="24" t="s">
        <v>267</v>
      </c>
      <c r="B43" s="25">
        <v>5582</v>
      </c>
      <c r="C43" s="25" t="s">
        <v>113</v>
      </c>
      <c r="D43" s="25">
        <f t="shared" si="3"/>
        <v>1182</v>
      </c>
      <c r="E43" s="26">
        <v>1194.76</v>
      </c>
      <c r="F43" s="25" t="s">
        <v>268</v>
      </c>
      <c r="G43" s="25" t="s">
        <v>269</v>
      </c>
      <c r="H43" s="25" t="s">
        <v>270</v>
      </c>
      <c r="I43" s="27">
        <f t="shared" si="4"/>
        <v>0</v>
      </c>
      <c r="J43" s="82">
        <f t="shared" si="2"/>
        <v>0</v>
      </c>
    </row>
    <row r="44" spans="1:10" x14ac:dyDescent="0.2">
      <c r="A44" s="24" t="s">
        <v>271</v>
      </c>
      <c r="B44" s="25">
        <v>3100</v>
      </c>
      <c r="C44" s="25" t="s">
        <v>113</v>
      </c>
      <c r="D44" s="25">
        <f t="shared" si="3"/>
        <v>1300</v>
      </c>
      <c r="E44" s="26">
        <v>1031.18</v>
      </c>
      <c r="F44" s="25" t="s">
        <v>272</v>
      </c>
      <c r="G44" s="25" t="s">
        <v>273</v>
      </c>
      <c r="H44" s="25" t="s">
        <v>274</v>
      </c>
      <c r="I44" s="27">
        <f t="shared" si="4"/>
        <v>0</v>
      </c>
      <c r="J44" s="82">
        <f t="shared" si="2"/>
        <v>0</v>
      </c>
    </row>
    <row r="45" spans="1:10" x14ac:dyDescent="0.2">
      <c r="A45" s="24" t="s">
        <v>275</v>
      </c>
      <c r="B45" s="25">
        <v>9220</v>
      </c>
      <c r="C45" s="25" t="s">
        <v>113</v>
      </c>
      <c r="D45" s="25">
        <f t="shared" si="3"/>
        <v>4820</v>
      </c>
      <c r="E45" s="26">
        <v>1189.4000000000001</v>
      </c>
      <c r="F45" s="25" t="s">
        <v>276</v>
      </c>
      <c r="G45" s="25" t="s">
        <v>277</v>
      </c>
      <c r="H45" s="25" t="s">
        <v>200</v>
      </c>
      <c r="I45" s="27">
        <f t="shared" si="4"/>
        <v>0</v>
      </c>
      <c r="J45" s="82">
        <f t="shared" si="2"/>
        <v>0</v>
      </c>
    </row>
    <row r="46" spans="1:10" x14ac:dyDescent="0.2">
      <c r="A46" s="24" t="s">
        <v>278</v>
      </c>
      <c r="B46" s="25">
        <v>9500</v>
      </c>
      <c r="C46" s="25" t="s">
        <v>113</v>
      </c>
      <c r="D46" s="25">
        <f t="shared" si="3"/>
        <v>5100</v>
      </c>
      <c r="E46" s="26">
        <v>1188.95</v>
      </c>
      <c r="F46" s="25" t="s">
        <v>276</v>
      </c>
      <c r="G46" s="25" t="s">
        <v>279</v>
      </c>
      <c r="H46" s="25" t="s">
        <v>200</v>
      </c>
      <c r="I46" s="27">
        <f t="shared" si="4"/>
        <v>0</v>
      </c>
      <c r="J46" s="82">
        <f t="shared" si="2"/>
        <v>0</v>
      </c>
    </row>
    <row r="47" spans="1:10" x14ac:dyDescent="0.2">
      <c r="A47" s="24" t="s">
        <v>280</v>
      </c>
      <c r="B47" s="25">
        <v>4600</v>
      </c>
      <c r="C47" s="25" t="s">
        <v>113</v>
      </c>
      <c r="D47" s="25">
        <f t="shared" si="3"/>
        <v>200</v>
      </c>
      <c r="E47" s="26">
        <v>1036.5</v>
      </c>
      <c r="F47" s="25" t="s">
        <v>220</v>
      </c>
      <c r="G47" s="25" t="s">
        <v>281</v>
      </c>
      <c r="H47" s="25" t="s">
        <v>218</v>
      </c>
      <c r="I47" s="27">
        <f t="shared" si="4"/>
        <v>0</v>
      </c>
      <c r="J47" s="82">
        <f t="shared" si="2"/>
        <v>0</v>
      </c>
    </row>
    <row r="48" spans="1:10" x14ac:dyDescent="0.2">
      <c r="A48" s="24" t="s">
        <v>282</v>
      </c>
      <c r="B48" s="25">
        <v>3335</v>
      </c>
      <c r="C48" s="25" t="s">
        <v>113</v>
      </c>
      <c r="D48" s="25">
        <f t="shared" si="3"/>
        <v>1065</v>
      </c>
      <c r="E48" s="26">
        <v>1106.53</v>
      </c>
      <c r="F48" s="25" t="s">
        <v>283</v>
      </c>
      <c r="G48" s="25" t="s">
        <v>284</v>
      </c>
      <c r="H48" s="25" t="s">
        <v>226</v>
      </c>
      <c r="I48" s="27">
        <f t="shared" si="4"/>
        <v>0</v>
      </c>
      <c r="J48" s="82">
        <f t="shared" si="2"/>
        <v>0</v>
      </c>
    </row>
    <row r="49" spans="1:11" x14ac:dyDescent="0.2">
      <c r="A49" s="24" t="s">
        <v>1243</v>
      </c>
      <c r="B49" s="25">
        <v>1190</v>
      </c>
      <c r="C49" s="25" t="s">
        <v>113</v>
      </c>
      <c r="D49" s="25">
        <f t="shared" si="3"/>
        <v>3210</v>
      </c>
      <c r="E49" s="26">
        <v>1084.48</v>
      </c>
      <c r="F49" s="25" t="s">
        <v>1244</v>
      </c>
      <c r="G49" s="25" t="s">
        <v>1245</v>
      </c>
      <c r="H49" s="25" t="s">
        <v>274</v>
      </c>
      <c r="I49" s="27">
        <f t="shared" si="4"/>
        <v>0</v>
      </c>
      <c r="J49" s="82">
        <f t="shared" si="2"/>
        <v>0</v>
      </c>
    </row>
    <row r="50" spans="1:11" x14ac:dyDescent="0.2">
      <c r="A50" s="24" t="s">
        <v>1246</v>
      </c>
      <c r="B50" s="25">
        <v>2700</v>
      </c>
      <c r="C50" s="25" t="s">
        <v>113</v>
      </c>
      <c r="D50" s="25">
        <f t="shared" si="3"/>
        <v>1700</v>
      </c>
      <c r="E50" s="26">
        <v>1080.56</v>
      </c>
      <c r="F50" s="25" t="s">
        <v>1247</v>
      </c>
      <c r="G50" s="25" t="s">
        <v>1248</v>
      </c>
      <c r="H50" s="25" t="s">
        <v>263</v>
      </c>
      <c r="I50" s="27">
        <f t="shared" si="4"/>
        <v>0</v>
      </c>
      <c r="J50" s="82">
        <f t="shared" si="2"/>
        <v>0</v>
      </c>
    </row>
    <row r="51" spans="1:11" x14ac:dyDescent="0.2">
      <c r="A51" s="24" t="s">
        <v>1249</v>
      </c>
      <c r="B51" s="25">
        <v>9400</v>
      </c>
      <c r="C51" s="25" t="s">
        <v>113</v>
      </c>
      <c r="D51" s="25">
        <f t="shared" si="3"/>
        <v>5000</v>
      </c>
      <c r="E51" s="26">
        <v>1066.68</v>
      </c>
      <c r="F51" s="25" t="s">
        <v>1250</v>
      </c>
      <c r="G51" s="25" t="s">
        <v>120</v>
      </c>
      <c r="H51" s="25" t="s">
        <v>1251</v>
      </c>
      <c r="I51" s="27">
        <f t="shared" si="4"/>
        <v>0</v>
      </c>
      <c r="J51" s="82">
        <f t="shared" si="2"/>
        <v>0</v>
      </c>
    </row>
    <row r="52" spans="1:11" x14ac:dyDescent="0.2">
      <c r="A52" s="24" t="s">
        <v>1252</v>
      </c>
      <c r="B52" s="25">
        <v>5700</v>
      </c>
      <c r="C52" s="25" t="s">
        <v>113</v>
      </c>
      <c r="D52" s="25">
        <f t="shared" si="3"/>
        <v>1300</v>
      </c>
      <c r="E52" s="26">
        <v>1080.32</v>
      </c>
      <c r="F52" s="25" t="s">
        <v>268</v>
      </c>
      <c r="G52" s="25" t="s">
        <v>1253</v>
      </c>
      <c r="H52" s="25" t="s">
        <v>1254</v>
      </c>
      <c r="I52" s="27">
        <f t="shared" si="4"/>
        <v>0</v>
      </c>
      <c r="J52" s="82">
        <f t="shared" si="2"/>
        <v>0</v>
      </c>
    </row>
    <row r="53" spans="1:11" ht="13.5" thickBot="1" x14ac:dyDescent="0.25">
      <c r="A53" s="34" t="s">
        <v>1255</v>
      </c>
      <c r="B53" s="35">
        <v>3910</v>
      </c>
      <c r="C53" s="35" t="s">
        <v>113</v>
      </c>
      <c r="D53" s="35">
        <f t="shared" si="3"/>
        <v>490</v>
      </c>
      <c r="E53" s="36">
        <v>1051.52</v>
      </c>
      <c r="F53" s="35" t="s">
        <v>1256</v>
      </c>
      <c r="G53" s="35" t="s">
        <v>1257</v>
      </c>
      <c r="H53" s="35" t="s">
        <v>1258</v>
      </c>
      <c r="I53" s="37">
        <f t="shared" si="4"/>
        <v>0</v>
      </c>
      <c r="J53" s="82">
        <f t="shared" si="2"/>
        <v>0</v>
      </c>
    </row>
    <row r="54" spans="1:11" ht="13.5" thickBot="1" x14ac:dyDescent="0.25">
      <c r="H54" s="6" t="s">
        <v>1240</v>
      </c>
      <c r="I54" s="38">
        <f>SUM(I3:I53)</f>
        <v>1068.82</v>
      </c>
      <c r="J54" s="82">
        <f>SUM(J3:J53)</f>
        <v>1</v>
      </c>
      <c r="K54" s="82">
        <f>I54/J54</f>
        <v>1068.82</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indexed="22"/>
  </sheetPr>
  <dimension ref="A1:L2460"/>
  <sheetViews>
    <sheetView zoomScale="75" workbookViewId="0">
      <selection activeCell="J5" sqref="J5"/>
    </sheetView>
  </sheetViews>
  <sheetFormatPr baseColWidth="10" defaultColWidth="11.28515625" defaultRowHeight="12.75" x14ac:dyDescent="0.2"/>
  <cols>
    <col min="1" max="1" width="6.85546875" style="5" customWidth="1"/>
    <col min="2" max="2" width="30.28515625" style="60" customWidth="1"/>
    <col min="3" max="3" width="12.28515625" style="5" customWidth="1"/>
    <col min="4" max="4" width="17.28515625" style="62" customWidth="1"/>
    <col min="5" max="5" width="14.7109375" style="62" customWidth="1"/>
    <col min="6" max="6" width="13.7109375" style="62" customWidth="1"/>
    <col min="7" max="7" width="9.28515625" style="62" bestFit="1" customWidth="1"/>
    <col min="8" max="9" width="11.28515625" style="3"/>
    <col min="10" max="10" width="11.85546875" style="3" customWidth="1"/>
    <col min="11" max="13" width="11.28515625" style="3"/>
    <col min="14" max="14" width="3.7109375" style="3" bestFit="1" customWidth="1"/>
    <col min="15" max="15" width="30.85546875" style="3" bestFit="1" customWidth="1"/>
    <col min="16" max="16384" width="11.28515625" style="3"/>
  </cols>
  <sheetData>
    <row r="1" spans="1:12" ht="13.5" thickBot="1" x14ac:dyDescent="0.25">
      <c r="A1" s="76" t="s">
        <v>101</v>
      </c>
      <c r="B1" s="77" t="s">
        <v>100</v>
      </c>
      <c r="C1" s="76" t="s">
        <v>1259</v>
      </c>
      <c r="D1" s="78" t="s">
        <v>1260</v>
      </c>
      <c r="E1" s="78" t="s">
        <v>1261</v>
      </c>
      <c r="F1" s="78" t="s">
        <v>1262</v>
      </c>
      <c r="G1" s="78" t="s">
        <v>1263</v>
      </c>
    </row>
    <row r="2" spans="1:12" x14ac:dyDescent="0.2">
      <c r="A2" s="40"/>
      <c r="B2" s="39"/>
      <c r="C2" s="40"/>
      <c r="D2" s="75"/>
      <c r="E2" s="75"/>
      <c r="F2" s="75"/>
      <c r="G2" s="75"/>
      <c r="I2" s="41" t="s">
        <v>738</v>
      </c>
      <c r="J2" s="42"/>
      <c r="K2" s="42"/>
      <c r="L2" s="43"/>
    </row>
    <row r="3" spans="1:12" x14ac:dyDescent="0.2">
      <c r="A3" s="40">
        <v>1004</v>
      </c>
      <c r="B3" s="39" t="s">
        <v>1243</v>
      </c>
      <c r="C3" s="40" t="s">
        <v>1264</v>
      </c>
      <c r="D3" s="75" t="s">
        <v>1265</v>
      </c>
      <c r="E3" s="75" t="s">
        <v>1266</v>
      </c>
      <c r="F3" s="75" t="s">
        <v>1267</v>
      </c>
      <c r="G3" s="75" t="s">
        <v>1268</v>
      </c>
      <c r="I3" s="44">
        <f>Eingabe!H12</f>
        <v>4400</v>
      </c>
      <c r="J3" s="45" t="str">
        <f>VLOOKUP(I3,A3:C2460,3,TRUE)</f>
        <v>O</v>
      </c>
      <c r="K3" s="45"/>
      <c r="L3" s="46"/>
    </row>
    <row r="4" spans="1:12" x14ac:dyDescent="0.2">
      <c r="A4" s="40">
        <v>1010</v>
      </c>
      <c r="B4" s="39" t="s">
        <v>1243</v>
      </c>
      <c r="C4" s="40" t="s">
        <v>1264</v>
      </c>
      <c r="D4" s="75" t="s">
        <v>1269</v>
      </c>
      <c r="E4" s="75" t="s">
        <v>1266</v>
      </c>
      <c r="F4" s="75" t="s">
        <v>1268</v>
      </c>
      <c r="G4" s="75" t="s">
        <v>1268</v>
      </c>
      <c r="I4" s="44"/>
      <c r="J4" s="45" t="str">
        <f>VLOOKUP(J3,I7:J15,2,TRUE)</f>
        <v>Oberösterreich</v>
      </c>
      <c r="K4" s="45"/>
      <c r="L4" s="46"/>
    </row>
    <row r="5" spans="1:12" ht="13.5" thickBot="1" x14ac:dyDescent="0.25">
      <c r="A5" s="40">
        <v>1011</v>
      </c>
      <c r="B5" s="39" t="s">
        <v>1270</v>
      </c>
      <c r="C5" s="40" t="s">
        <v>1264</v>
      </c>
      <c r="D5" s="75" t="s">
        <v>1271</v>
      </c>
      <c r="E5" s="75" t="s">
        <v>1266</v>
      </c>
      <c r="F5" s="75" t="s">
        <v>1267</v>
      </c>
      <c r="G5" s="75" t="s">
        <v>1268</v>
      </c>
      <c r="I5" s="47"/>
      <c r="J5" s="48" t="str">
        <f>VLOOKUP(I3,A3:C2460,2,FALSE)</f>
        <v>Steyr</v>
      </c>
      <c r="K5" s="48"/>
      <c r="L5" s="49"/>
    </row>
    <row r="6" spans="1:12" x14ac:dyDescent="0.2">
      <c r="A6" s="40">
        <v>1012</v>
      </c>
      <c r="B6" s="39" t="s">
        <v>1243</v>
      </c>
      <c r="C6" s="40" t="s">
        <v>1264</v>
      </c>
      <c r="D6" s="75" t="s">
        <v>1271</v>
      </c>
      <c r="E6" s="75" t="s">
        <v>1266</v>
      </c>
      <c r="F6" s="75" t="s">
        <v>1267</v>
      </c>
      <c r="G6" s="75" t="s">
        <v>1268</v>
      </c>
    </row>
    <row r="7" spans="1:12" x14ac:dyDescent="0.2">
      <c r="A7" s="40">
        <v>1013</v>
      </c>
      <c r="B7" s="39" t="s">
        <v>1243</v>
      </c>
      <c r="C7" s="40" t="s">
        <v>1264</v>
      </c>
      <c r="D7" s="75" t="s">
        <v>1271</v>
      </c>
      <c r="E7" s="75" t="s">
        <v>1266</v>
      </c>
      <c r="F7" s="75" t="s">
        <v>1267</v>
      </c>
      <c r="G7" s="75" t="s">
        <v>1268</v>
      </c>
      <c r="I7" s="5" t="s">
        <v>1806</v>
      </c>
      <c r="J7" s="3" t="s">
        <v>2051</v>
      </c>
    </row>
    <row r="8" spans="1:12" x14ac:dyDescent="0.2">
      <c r="A8" s="40">
        <v>1014</v>
      </c>
      <c r="B8" s="39" t="s">
        <v>1243</v>
      </c>
      <c r="C8" s="40" t="s">
        <v>1264</v>
      </c>
      <c r="D8" s="75" t="s">
        <v>1271</v>
      </c>
      <c r="E8" s="75" t="s">
        <v>1266</v>
      </c>
      <c r="F8" s="75" t="s">
        <v>1267</v>
      </c>
      <c r="G8" s="75" t="s">
        <v>1268</v>
      </c>
      <c r="I8" s="5" t="s">
        <v>1476</v>
      </c>
      <c r="J8" s="3" t="s">
        <v>782</v>
      </c>
    </row>
    <row r="9" spans="1:12" x14ac:dyDescent="0.2">
      <c r="A9" s="40">
        <v>1015</v>
      </c>
      <c r="B9" s="39" t="s">
        <v>1243</v>
      </c>
      <c r="C9" s="40" t="s">
        <v>1264</v>
      </c>
      <c r="D9" s="75" t="s">
        <v>1271</v>
      </c>
      <c r="E9" s="75" t="s">
        <v>1266</v>
      </c>
      <c r="F9" s="75" t="s">
        <v>1267</v>
      </c>
      <c r="G9" s="75" t="s">
        <v>1268</v>
      </c>
      <c r="I9" s="5" t="s">
        <v>1281</v>
      </c>
      <c r="J9" s="3" t="s">
        <v>2050</v>
      </c>
    </row>
    <row r="10" spans="1:12" x14ac:dyDescent="0.2">
      <c r="A10" s="40">
        <v>1016</v>
      </c>
      <c r="B10" s="39" t="s">
        <v>1243</v>
      </c>
      <c r="C10" s="40" t="s">
        <v>1264</v>
      </c>
      <c r="D10" s="75" t="s">
        <v>1271</v>
      </c>
      <c r="E10" s="75" t="s">
        <v>1266</v>
      </c>
      <c r="F10" s="75" t="s">
        <v>1267</v>
      </c>
      <c r="G10" s="75" t="s">
        <v>1268</v>
      </c>
      <c r="I10" s="5" t="s">
        <v>520</v>
      </c>
      <c r="J10" s="3" t="s">
        <v>783</v>
      </c>
    </row>
    <row r="11" spans="1:12" x14ac:dyDescent="0.2">
      <c r="A11" s="40">
        <v>1017</v>
      </c>
      <c r="B11" s="39" t="s">
        <v>1272</v>
      </c>
      <c r="C11" s="40" t="s">
        <v>1264</v>
      </c>
      <c r="D11" s="75" t="s">
        <v>1271</v>
      </c>
      <c r="E11" s="75" t="s">
        <v>1266</v>
      </c>
      <c r="F11" s="75" t="s">
        <v>1267</v>
      </c>
      <c r="G11" s="75" t="s">
        <v>1268</v>
      </c>
      <c r="I11" s="5" t="s">
        <v>669</v>
      </c>
      <c r="J11" s="3" t="s">
        <v>261</v>
      </c>
    </row>
    <row r="12" spans="1:12" x14ac:dyDescent="0.2">
      <c r="A12" s="40">
        <v>1018</v>
      </c>
      <c r="B12" s="39" t="s">
        <v>1243</v>
      </c>
      <c r="C12" s="40" t="s">
        <v>1264</v>
      </c>
      <c r="D12" s="75" t="s">
        <v>1271</v>
      </c>
      <c r="E12" s="75" t="s">
        <v>1266</v>
      </c>
      <c r="F12" s="75" t="s">
        <v>1267</v>
      </c>
      <c r="G12" s="75" t="s">
        <v>1268</v>
      </c>
      <c r="I12" s="5" t="s">
        <v>2582</v>
      </c>
      <c r="J12" s="3" t="s">
        <v>784</v>
      </c>
    </row>
    <row r="13" spans="1:12" x14ac:dyDescent="0.2">
      <c r="A13" s="40">
        <v>1020</v>
      </c>
      <c r="B13" s="39" t="s">
        <v>1243</v>
      </c>
      <c r="C13" s="40" t="s">
        <v>1264</v>
      </c>
      <c r="D13" s="75" t="s">
        <v>1269</v>
      </c>
      <c r="E13" s="75" t="s">
        <v>1266</v>
      </c>
      <c r="F13" s="75" t="s">
        <v>1268</v>
      </c>
      <c r="G13" s="75" t="s">
        <v>1268</v>
      </c>
      <c r="I13" s="5" t="s">
        <v>871</v>
      </c>
      <c r="J13" s="3" t="s">
        <v>785</v>
      </c>
    </row>
    <row r="14" spans="1:12" x14ac:dyDescent="0.2">
      <c r="A14" s="40">
        <v>1021</v>
      </c>
      <c r="B14" s="39" t="s">
        <v>1270</v>
      </c>
      <c r="C14" s="40" t="s">
        <v>1264</v>
      </c>
      <c r="D14" s="75" t="s">
        <v>1271</v>
      </c>
      <c r="E14" s="75" t="s">
        <v>1266</v>
      </c>
      <c r="F14" s="75" t="s">
        <v>1267</v>
      </c>
      <c r="G14" s="75" t="s">
        <v>1268</v>
      </c>
      <c r="I14" s="5" t="s">
        <v>1075</v>
      </c>
      <c r="J14" s="3" t="s">
        <v>786</v>
      </c>
    </row>
    <row r="15" spans="1:12" x14ac:dyDescent="0.2">
      <c r="A15" s="40">
        <v>1022</v>
      </c>
      <c r="B15" s="39" t="s">
        <v>1243</v>
      </c>
      <c r="C15" s="40" t="s">
        <v>1264</v>
      </c>
      <c r="D15" s="75" t="s">
        <v>1271</v>
      </c>
      <c r="E15" s="75" t="s">
        <v>1266</v>
      </c>
      <c r="F15" s="75" t="s">
        <v>1267</v>
      </c>
      <c r="G15" s="75" t="s">
        <v>1268</v>
      </c>
      <c r="I15" s="5" t="s">
        <v>1264</v>
      </c>
      <c r="J15" s="3" t="s">
        <v>1243</v>
      </c>
    </row>
    <row r="16" spans="1:12" x14ac:dyDescent="0.2">
      <c r="A16" s="40">
        <v>1023</v>
      </c>
      <c r="B16" s="39" t="s">
        <v>1243</v>
      </c>
      <c r="C16" s="40" t="s">
        <v>1264</v>
      </c>
      <c r="D16" s="75" t="s">
        <v>1271</v>
      </c>
      <c r="E16" s="75" t="s">
        <v>1266</v>
      </c>
      <c r="F16" s="75" t="s">
        <v>1267</v>
      </c>
      <c r="G16" s="75" t="s">
        <v>1268</v>
      </c>
    </row>
    <row r="17" spans="1:7" x14ac:dyDescent="0.2">
      <c r="A17" s="40">
        <v>1024</v>
      </c>
      <c r="B17" s="39" t="s">
        <v>1243</v>
      </c>
      <c r="C17" s="40" t="s">
        <v>1264</v>
      </c>
      <c r="D17" s="75" t="s">
        <v>1271</v>
      </c>
      <c r="E17" s="75" t="s">
        <v>1266</v>
      </c>
      <c r="F17" s="75" t="s">
        <v>1267</v>
      </c>
      <c r="G17" s="75" t="s">
        <v>1268</v>
      </c>
    </row>
    <row r="18" spans="1:7" x14ac:dyDescent="0.2">
      <c r="A18" s="40">
        <v>1025</v>
      </c>
      <c r="B18" s="39" t="s">
        <v>1243</v>
      </c>
      <c r="C18" s="40" t="s">
        <v>1264</v>
      </c>
      <c r="D18" s="75" t="s">
        <v>1271</v>
      </c>
      <c r="E18" s="75" t="s">
        <v>1266</v>
      </c>
      <c r="F18" s="75" t="s">
        <v>1267</v>
      </c>
      <c r="G18" s="75" t="s">
        <v>1268</v>
      </c>
    </row>
    <row r="19" spans="1:7" x14ac:dyDescent="0.2">
      <c r="A19" s="40">
        <v>1029</v>
      </c>
      <c r="B19" s="39" t="s">
        <v>1243</v>
      </c>
      <c r="C19" s="40" t="s">
        <v>1264</v>
      </c>
      <c r="D19" s="75" t="s">
        <v>1265</v>
      </c>
      <c r="E19" s="75" t="s">
        <v>1266</v>
      </c>
      <c r="F19" s="75" t="s">
        <v>1267</v>
      </c>
      <c r="G19" s="75" t="s">
        <v>1268</v>
      </c>
    </row>
    <row r="20" spans="1:7" x14ac:dyDescent="0.2">
      <c r="A20" s="40">
        <v>1030</v>
      </c>
      <c r="B20" s="39" t="s">
        <v>1243</v>
      </c>
      <c r="C20" s="40" t="s">
        <v>1264</v>
      </c>
      <c r="D20" s="75" t="s">
        <v>1269</v>
      </c>
      <c r="E20" s="75" t="s">
        <v>1266</v>
      </c>
      <c r="F20" s="75" t="s">
        <v>1268</v>
      </c>
      <c r="G20" s="75" t="s">
        <v>1268</v>
      </c>
    </row>
    <row r="21" spans="1:7" x14ac:dyDescent="0.2">
      <c r="A21" s="40">
        <v>1031</v>
      </c>
      <c r="B21" s="39" t="s">
        <v>1270</v>
      </c>
      <c r="C21" s="40" t="s">
        <v>1264</v>
      </c>
      <c r="D21" s="75" t="s">
        <v>1271</v>
      </c>
      <c r="E21" s="75" t="s">
        <v>1266</v>
      </c>
      <c r="F21" s="75" t="s">
        <v>1267</v>
      </c>
      <c r="G21" s="75" t="s">
        <v>1268</v>
      </c>
    </row>
    <row r="22" spans="1:7" x14ac:dyDescent="0.2">
      <c r="A22" s="40">
        <v>1033</v>
      </c>
      <c r="B22" s="39" t="s">
        <v>1243</v>
      </c>
      <c r="C22" s="40" t="s">
        <v>1264</v>
      </c>
      <c r="D22" s="75" t="s">
        <v>1271</v>
      </c>
      <c r="E22" s="75" t="s">
        <v>1266</v>
      </c>
      <c r="F22" s="75" t="s">
        <v>1267</v>
      </c>
      <c r="G22" s="75" t="s">
        <v>1268</v>
      </c>
    </row>
    <row r="23" spans="1:7" x14ac:dyDescent="0.2">
      <c r="A23" s="40">
        <v>1034</v>
      </c>
      <c r="B23" s="39" t="s">
        <v>1243</v>
      </c>
      <c r="C23" s="40" t="s">
        <v>1264</v>
      </c>
      <c r="D23" s="75" t="s">
        <v>1271</v>
      </c>
      <c r="E23" s="75" t="s">
        <v>1266</v>
      </c>
      <c r="F23" s="75" t="s">
        <v>1267</v>
      </c>
      <c r="G23" s="75" t="s">
        <v>1268</v>
      </c>
    </row>
    <row r="24" spans="1:7" x14ac:dyDescent="0.2">
      <c r="A24" s="40">
        <v>1035</v>
      </c>
      <c r="B24" s="39" t="s">
        <v>1243</v>
      </c>
      <c r="C24" s="40" t="s">
        <v>1264</v>
      </c>
      <c r="D24" s="75" t="s">
        <v>1271</v>
      </c>
      <c r="E24" s="75" t="s">
        <v>1266</v>
      </c>
      <c r="F24" s="75" t="s">
        <v>1267</v>
      </c>
      <c r="G24" s="75" t="s">
        <v>1268</v>
      </c>
    </row>
    <row r="25" spans="1:7" x14ac:dyDescent="0.2">
      <c r="A25" s="40">
        <v>1036</v>
      </c>
      <c r="B25" s="39" t="s">
        <v>1243</v>
      </c>
      <c r="C25" s="40" t="s">
        <v>1264</v>
      </c>
      <c r="D25" s="75" t="s">
        <v>1271</v>
      </c>
      <c r="E25" s="75" t="s">
        <v>1266</v>
      </c>
      <c r="F25" s="75" t="s">
        <v>1267</v>
      </c>
      <c r="G25" s="75" t="s">
        <v>1268</v>
      </c>
    </row>
    <row r="26" spans="1:7" x14ac:dyDescent="0.2">
      <c r="A26" s="40">
        <v>1037</v>
      </c>
      <c r="B26" s="39" t="s">
        <v>1243</v>
      </c>
      <c r="C26" s="40" t="s">
        <v>1264</v>
      </c>
      <c r="D26" s="75" t="s">
        <v>1271</v>
      </c>
      <c r="E26" s="75" t="s">
        <v>1266</v>
      </c>
      <c r="F26" s="75" t="s">
        <v>1267</v>
      </c>
      <c r="G26" s="75" t="s">
        <v>1268</v>
      </c>
    </row>
    <row r="27" spans="1:7" x14ac:dyDescent="0.2">
      <c r="A27" s="40">
        <v>1038</v>
      </c>
      <c r="B27" s="39" t="s">
        <v>1243</v>
      </c>
      <c r="C27" s="40" t="s">
        <v>1264</v>
      </c>
      <c r="D27" s="75" t="s">
        <v>1265</v>
      </c>
      <c r="E27" s="75" t="s">
        <v>1266</v>
      </c>
      <c r="F27" s="75" t="s">
        <v>1267</v>
      </c>
      <c r="G27" s="75" t="s">
        <v>1268</v>
      </c>
    </row>
    <row r="28" spans="1:7" x14ac:dyDescent="0.2">
      <c r="A28" s="40">
        <v>1039</v>
      </c>
      <c r="B28" s="39" t="s">
        <v>1243</v>
      </c>
      <c r="C28" s="40" t="s">
        <v>1264</v>
      </c>
      <c r="D28" s="75" t="s">
        <v>1265</v>
      </c>
      <c r="E28" s="75" t="s">
        <v>1266</v>
      </c>
      <c r="F28" s="75" t="s">
        <v>1267</v>
      </c>
      <c r="G28" s="75" t="s">
        <v>1268</v>
      </c>
    </row>
    <row r="29" spans="1:7" x14ac:dyDescent="0.2">
      <c r="A29" s="40">
        <v>1040</v>
      </c>
      <c r="B29" s="39" t="s">
        <v>1243</v>
      </c>
      <c r="C29" s="40" t="s">
        <v>1264</v>
      </c>
      <c r="D29" s="75" t="s">
        <v>1269</v>
      </c>
      <c r="E29" s="75" t="s">
        <v>1266</v>
      </c>
      <c r="F29" s="75" t="s">
        <v>1268</v>
      </c>
      <c r="G29" s="75" t="s">
        <v>1268</v>
      </c>
    </row>
    <row r="30" spans="1:7" x14ac:dyDescent="0.2">
      <c r="A30" s="40">
        <v>1041</v>
      </c>
      <c r="B30" s="39" t="s">
        <v>1270</v>
      </c>
      <c r="C30" s="40" t="s">
        <v>1264</v>
      </c>
      <c r="D30" s="75" t="s">
        <v>1271</v>
      </c>
      <c r="E30" s="75" t="s">
        <v>1266</v>
      </c>
      <c r="F30" s="75" t="s">
        <v>1267</v>
      </c>
      <c r="G30" s="75" t="s">
        <v>1268</v>
      </c>
    </row>
    <row r="31" spans="1:7" x14ac:dyDescent="0.2">
      <c r="A31" s="40">
        <v>1042</v>
      </c>
      <c r="B31" s="39" t="s">
        <v>1243</v>
      </c>
      <c r="C31" s="40" t="s">
        <v>1264</v>
      </c>
      <c r="D31" s="75" t="s">
        <v>1271</v>
      </c>
      <c r="E31" s="75" t="s">
        <v>1266</v>
      </c>
      <c r="F31" s="75" t="s">
        <v>1267</v>
      </c>
      <c r="G31" s="75" t="s">
        <v>1268</v>
      </c>
    </row>
    <row r="32" spans="1:7" x14ac:dyDescent="0.2">
      <c r="A32" s="40">
        <v>1043</v>
      </c>
      <c r="B32" s="39" t="s">
        <v>1243</v>
      </c>
      <c r="C32" s="40" t="s">
        <v>1264</v>
      </c>
      <c r="D32" s="75" t="s">
        <v>1271</v>
      </c>
      <c r="E32" s="75" t="s">
        <v>1266</v>
      </c>
      <c r="F32" s="75" t="s">
        <v>1267</v>
      </c>
      <c r="G32" s="75" t="s">
        <v>1268</v>
      </c>
    </row>
    <row r="33" spans="1:7" x14ac:dyDescent="0.2">
      <c r="A33" s="40">
        <v>1045</v>
      </c>
      <c r="B33" s="39" t="s">
        <v>1243</v>
      </c>
      <c r="C33" s="40" t="s">
        <v>1264</v>
      </c>
      <c r="D33" s="75" t="s">
        <v>1265</v>
      </c>
      <c r="E33" s="75" t="s">
        <v>1266</v>
      </c>
      <c r="F33" s="75" t="s">
        <v>1267</v>
      </c>
      <c r="G33" s="75" t="s">
        <v>1268</v>
      </c>
    </row>
    <row r="34" spans="1:7" x14ac:dyDescent="0.2">
      <c r="A34" s="40">
        <v>1050</v>
      </c>
      <c r="B34" s="39" t="s">
        <v>1243</v>
      </c>
      <c r="C34" s="40" t="s">
        <v>1264</v>
      </c>
      <c r="D34" s="75" t="s">
        <v>1269</v>
      </c>
      <c r="E34" s="75" t="s">
        <v>1266</v>
      </c>
      <c r="F34" s="75" t="s">
        <v>1268</v>
      </c>
      <c r="G34" s="75" t="s">
        <v>1268</v>
      </c>
    </row>
    <row r="35" spans="1:7" x14ac:dyDescent="0.2">
      <c r="A35" s="40">
        <v>1051</v>
      </c>
      <c r="B35" s="39" t="s">
        <v>1270</v>
      </c>
      <c r="C35" s="40" t="s">
        <v>1264</v>
      </c>
      <c r="D35" s="75" t="s">
        <v>1271</v>
      </c>
      <c r="E35" s="75" t="s">
        <v>1266</v>
      </c>
      <c r="F35" s="75" t="s">
        <v>1267</v>
      </c>
      <c r="G35" s="75" t="s">
        <v>1268</v>
      </c>
    </row>
    <row r="36" spans="1:7" x14ac:dyDescent="0.2">
      <c r="A36" s="40">
        <v>1052</v>
      </c>
      <c r="B36" s="39" t="s">
        <v>1243</v>
      </c>
      <c r="C36" s="40" t="s">
        <v>1264</v>
      </c>
      <c r="D36" s="75" t="s">
        <v>1271</v>
      </c>
      <c r="E36" s="75" t="s">
        <v>1266</v>
      </c>
      <c r="F36" s="75" t="s">
        <v>1267</v>
      </c>
      <c r="G36" s="75" t="s">
        <v>1268</v>
      </c>
    </row>
    <row r="37" spans="1:7" x14ac:dyDescent="0.2">
      <c r="A37" s="40">
        <v>1053</v>
      </c>
      <c r="B37" s="39" t="s">
        <v>1243</v>
      </c>
      <c r="C37" s="40" t="s">
        <v>1264</v>
      </c>
      <c r="D37" s="75" t="s">
        <v>1271</v>
      </c>
      <c r="E37" s="75" t="s">
        <v>1266</v>
      </c>
      <c r="F37" s="75" t="s">
        <v>1267</v>
      </c>
      <c r="G37" s="75" t="s">
        <v>1268</v>
      </c>
    </row>
    <row r="38" spans="1:7" x14ac:dyDescent="0.2">
      <c r="A38" s="40">
        <v>1060</v>
      </c>
      <c r="B38" s="39" t="s">
        <v>1243</v>
      </c>
      <c r="C38" s="40" t="s">
        <v>1264</v>
      </c>
      <c r="D38" s="75" t="s">
        <v>1269</v>
      </c>
      <c r="E38" s="75" t="s">
        <v>1266</v>
      </c>
      <c r="F38" s="75" t="s">
        <v>1268</v>
      </c>
      <c r="G38" s="75" t="s">
        <v>1268</v>
      </c>
    </row>
    <row r="39" spans="1:7" x14ac:dyDescent="0.2">
      <c r="A39" s="40">
        <v>1061</v>
      </c>
      <c r="B39" s="39" t="s">
        <v>1270</v>
      </c>
      <c r="C39" s="40" t="s">
        <v>1264</v>
      </c>
      <c r="D39" s="75" t="s">
        <v>1271</v>
      </c>
      <c r="E39" s="75" t="s">
        <v>1266</v>
      </c>
      <c r="F39" s="75" t="s">
        <v>1267</v>
      </c>
      <c r="G39" s="75" t="s">
        <v>1268</v>
      </c>
    </row>
    <row r="40" spans="1:7" x14ac:dyDescent="0.2">
      <c r="A40" s="40">
        <v>1062</v>
      </c>
      <c r="B40" s="39" t="s">
        <v>1243</v>
      </c>
      <c r="C40" s="40" t="s">
        <v>1264</v>
      </c>
      <c r="D40" s="75" t="s">
        <v>1271</v>
      </c>
      <c r="E40" s="75" t="s">
        <v>1266</v>
      </c>
      <c r="F40" s="75" t="s">
        <v>1267</v>
      </c>
      <c r="G40" s="75" t="s">
        <v>1268</v>
      </c>
    </row>
    <row r="41" spans="1:7" x14ac:dyDescent="0.2">
      <c r="A41" s="40">
        <v>1063</v>
      </c>
      <c r="B41" s="39" t="s">
        <v>1273</v>
      </c>
      <c r="C41" s="40" t="s">
        <v>1264</v>
      </c>
      <c r="D41" s="75" t="s">
        <v>1265</v>
      </c>
      <c r="E41" s="75" t="s">
        <v>1266</v>
      </c>
      <c r="F41" s="75" t="s">
        <v>1267</v>
      </c>
      <c r="G41" s="75" t="s">
        <v>1268</v>
      </c>
    </row>
    <row r="42" spans="1:7" x14ac:dyDescent="0.2">
      <c r="A42" s="40">
        <v>1070</v>
      </c>
      <c r="B42" s="39" t="s">
        <v>1243</v>
      </c>
      <c r="C42" s="40" t="s">
        <v>1264</v>
      </c>
      <c r="D42" s="75" t="s">
        <v>1269</v>
      </c>
      <c r="E42" s="75" t="s">
        <v>1266</v>
      </c>
      <c r="F42" s="75" t="s">
        <v>1268</v>
      </c>
      <c r="G42" s="75" t="s">
        <v>1268</v>
      </c>
    </row>
    <row r="43" spans="1:7" x14ac:dyDescent="0.2">
      <c r="A43" s="40">
        <v>1071</v>
      </c>
      <c r="B43" s="39" t="s">
        <v>1270</v>
      </c>
      <c r="C43" s="40" t="s">
        <v>1264</v>
      </c>
      <c r="D43" s="75" t="s">
        <v>1271</v>
      </c>
      <c r="E43" s="75" t="s">
        <v>1266</v>
      </c>
      <c r="F43" s="75" t="s">
        <v>1267</v>
      </c>
      <c r="G43" s="75" t="s">
        <v>1268</v>
      </c>
    </row>
    <row r="44" spans="1:7" x14ac:dyDescent="0.2">
      <c r="A44" s="40">
        <v>1072</v>
      </c>
      <c r="B44" s="39" t="s">
        <v>1243</v>
      </c>
      <c r="C44" s="40" t="s">
        <v>1264</v>
      </c>
      <c r="D44" s="75" t="s">
        <v>1271</v>
      </c>
      <c r="E44" s="75" t="s">
        <v>1266</v>
      </c>
      <c r="F44" s="75" t="s">
        <v>1267</v>
      </c>
      <c r="G44" s="75" t="s">
        <v>1268</v>
      </c>
    </row>
    <row r="45" spans="1:7" x14ac:dyDescent="0.2">
      <c r="A45" s="40">
        <v>1080</v>
      </c>
      <c r="B45" s="39" t="s">
        <v>1243</v>
      </c>
      <c r="C45" s="40" t="s">
        <v>1264</v>
      </c>
      <c r="D45" s="75" t="s">
        <v>1269</v>
      </c>
      <c r="E45" s="75" t="s">
        <v>1266</v>
      </c>
      <c r="F45" s="75" t="s">
        <v>1268</v>
      </c>
      <c r="G45" s="75" t="s">
        <v>1268</v>
      </c>
    </row>
    <row r="46" spans="1:7" x14ac:dyDescent="0.2">
      <c r="A46" s="40">
        <v>1081</v>
      </c>
      <c r="B46" s="39" t="s">
        <v>1270</v>
      </c>
      <c r="C46" s="40" t="s">
        <v>1264</v>
      </c>
      <c r="D46" s="75" t="s">
        <v>1271</v>
      </c>
      <c r="E46" s="75" t="s">
        <v>1266</v>
      </c>
      <c r="F46" s="75" t="s">
        <v>1267</v>
      </c>
      <c r="G46" s="75" t="s">
        <v>1268</v>
      </c>
    </row>
    <row r="47" spans="1:7" x14ac:dyDescent="0.2">
      <c r="A47" s="40">
        <v>1082</v>
      </c>
      <c r="B47" s="39" t="s">
        <v>1243</v>
      </c>
      <c r="C47" s="40" t="s">
        <v>1264</v>
      </c>
      <c r="D47" s="75" t="s">
        <v>1271</v>
      </c>
      <c r="E47" s="75" t="s">
        <v>1266</v>
      </c>
      <c r="F47" s="75" t="s">
        <v>1267</v>
      </c>
      <c r="G47" s="75" t="s">
        <v>1268</v>
      </c>
    </row>
    <row r="48" spans="1:7" x14ac:dyDescent="0.2">
      <c r="A48" s="40">
        <v>1090</v>
      </c>
      <c r="B48" s="39" t="s">
        <v>1243</v>
      </c>
      <c r="C48" s="40" t="s">
        <v>1264</v>
      </c>
      <c r="D48" s="75" t="s">
        <v>1269</v>
      </c>
      <c r="E48" s="75" t="s">
        <v>1266</v>
      </c>
      <c r="F48" s="75" t="s">
        <v>1268</v>
      </c>
      <c r="G48" s="75" t="s">
        <v>1268</v>
      </c>
    </row>
    <row r="49" spans="1:7" x14ac:dyDescent="0.2">
      <c r="A49" s="40">
        <v>1091</v>
      </c>
      <c r="B49" s="39" t="s">
        <v>1270</v>
      </c>
      <c r="C49" s="40" t="s">
        <v>1264</v>
      </c>
      <c r="D49" s="75" t="s">
        <v>1271</v>
      </c>
      <c r="E49" s="75" t="s">
        <v>1266</v>
      </c>
      <c r="F49" s="75" t="s">
        <v>1267</v>
      </c>
      <c r="G49" s="75" t="s">
        <v>1268</v>
      </c>
    </row>
    <row r="50" spans="1:7" x14ac:dyDescent="0.2">
      <c r="A50" s="40">
        <v>1092</v>
      </c>
      <c r="B50" s="39" t="s">
        <v>1243</v>
      </c>
      <c r="C50" s="40" t="s">
        <v>1264</v>
      </c>
      <c r="D50" s="75" t="s">
        <v>1271</v>
      </c>
      <c r="E50" s="75" t="s">
        <v>1266</v>
      </c>
      <c r="F50" s="75" t="s">
        <v>1267</v>
      </c>
      <c r="G50" s="75" t="s">
        <v>1268</v>
      </c>
    </row>
    <row r="51" spans="1:7" x14ac:dyDescent="0.2">
      <c r="A51" s="40">
        <v>1093</v>
      </c>
      <c r="B51" s="39" t="s">
        <v>1243</v>
      </c>
      <c r="C51" s="40" t="s">
        <v>1264</v>
      </c>
      <c r="D51" s="75" t="s">
        <v>1271</v>
      </c>
      <c r="E51" s="75" t="s">
        <v>1266</v>
      </c>
      <c r="F51" s="75" t="s">
        <v>1267</v>
      </c>
      <c r="G51" s="75" t="s">
        <v>1268</v>
      </c>
    </row>
    <row r="52" spans="1:7" x14ac:dyDescent="0.2">
      <c r="A52" s="40">
        <v>1094</v>
      </c>
      <c r="B52" s="39" t="s">
        <v>1243</v>
      </c>
      <c r="C52" s="40" t="s">
        <v>1264</v>
      </c>
      <c r="D52" s="75" t="s">
        <v>1271</v>
      </c>
      <c r="E52" s="75" t="s">
        <v>1266</v>
      </c>
      <c r="F52" s="75" t="s">
        <v>1267</v>
      </c>
      <c r="G52" s="75" t="s">
        <v>1268</v>
      </c>
    </row>
    <row r="53" spans="1:7" x14ac:dyDescent="0.2">
      <c r="A53" s="40">
        <v>1095</v>
      </c>
      <c r="B53" s="39" t="s">
        <v>1243</v>
      </c>
      <c r="C53" s="40" t="s">
        <v>1264</v>
      </c>
      <c r="D53" s="75" t="s">
        <v>1271</v>
      </c>
      <c r="E53" s="75" t="s">
        <v>1266</v>
      </c>
      <c r="F53" s="75" t="s">
        <v>1267</v>
      </c>
      <c r="G53" s="75" t="s">
        <v>1268</v>
      </c>
    </row>
    <row r="54" spans="1:7" x14ac:dyDescent="0.2">
      <c r="A54" s="40">
        <v>1096</v>
      </c>
      <c r="B54" s="39" t="s">
        <v>1243</v>
      </c>
      <c r="C54" s="40" t="s">
        <v>1264</v>
      </c>
      <c r="D54" s="75" t="s">
        <v>1271</v>
      </c>
      <c r="E54" s="75" t="s">
        <v>1266</v>
      </c>
      <c r="F54" s="75" t="s">
        <v>1267</v>
      </c>
      <c r="G54" s="75" t="s">
        <v>1268</v>
      </c>
    </row>
    <row r="55" spans="1:7" x14ac:dyDescent="0.2">
      <c r="A55" s="40">
        <v>1097</v>
      </c>
      <c r="B55" s="39" t="s">
        <v>1243</v>
      </c>
      <c r="C55" s="40" t="s">
        <v>1264</v>
      </c>
      <c r="D55" s="75" t="s">
        <v>1271</v>
      </c>
      <c r="E55" s="75" t="s">
        <v>1266</v>
      </c>
      <c r="F55" s="75" t="s">
        <v>1267</v>
      </c>
      <c r="G55" s="75" t="s">
        <v>1268</v>
      </c>
    </row>
    <row r="56" spans="1:7" x14ac:dyDescent="0.2">
      <c r="A56" s="40">
        <v>1100</v>
      </c>
      <c r="B56" s="39" t="s">
        <v>1243</v>
      </c>
      <c r="C56" s="40" t="s">
        <v>1264</v>
      </c>
      <c r="D56" s="75" t="s">
        <v>1269</v>
      </c>
      <c r="E56" s="75" t="s">
        <v>1266</v>
      </c>
      <c r="F56" s="75" t="s">
        <v>1268</v>
      </c>
      <c r="G56" s="75" t="s">
        <v>1268</v>
      </c>
    </row>
    <row r="57" spans="1:7" x14ac:dyDescent="0.2">
      <c r="A57" s="40">
        <v>1101</v>
      </c>
      <c r="B57" s="39" t="s">
        <v>1270</v>
      </c>
      <c r="C57" s="40" t="s">
        <v>1264</v>
      </c>
      <c r="D57" s="75" t="s">
        <v>1271</v>
      </c>
      <c r="E57" s="75" t="s">
        <v>1266</v>
      </c>
      <c r="F57" s="75" t="s">
        <v>1267</v>
      </c>
      <c r="G57" s="75" t="s">
        <v>1268</v>
      </c>
    </row>
    <row r="58" spans="1:7" x14ac:dyDescent="0.2">
      <c r="A58" s="40">
        <v>1102</v>
      </c>
      <c r="B58" s="39" t="s">
        <v>1243</v>
      </c>
      <c r="C58" s="40" t="s">
        <v>1264</v>
      </c>
      <c r="D58" s="75" t="s">
        <v>1271</v>
      </c>
      <c r="E58" s="75" t="s">
        <v>1266</v>
      </c>
      <c r="F58" s="75" t="s">
        <v>1267</v>
      </c>
      <c r="G58" s="75" t="s">
        <v>1268</v>
      </c>
    </row>
    <row r="59" spans="1:7" x14ac:dyDescent="0.2">
      <c r="A59" s="40">
        <v>1103</v>
      </c>
      <c r="B59" s="39" t="s">
        <v>1243</v>
      </c>
      <c r="C59" s="40" t="s">
        <v>1264</v>
      </c>
      <c r="D59" s="75" t="s">
        <v>1271</v>
      </c>
      <c r="E59" s="75" t="s">
        <v>1266</v>
      </c>
      <c r="F59" s="75" t="s">
        <v>1267</v>
      </c>
      <c r="G59" s="75" t="s">
        <v>1268</v>
      </c>
    </row>
    <row r="60" spans="1:7" x14ac:dyDescent="0.2">
      <c r="A60" s="40">
        <v>1104</v>
      </c>
      <c r="B60" s="39" t="s">
        <v>1243</v>
      </c>
      <c r="C60" s="40" t="s">
        <v>1264</v>
      </c>
      <c r="D60" s="75" t="s">
        <v>1271</v>
      </c>
      <c r="E60" s="75" t="s">
        <v>1266</v>
      </c>
      <c r="F60" s="75" t="s">
        <v>1267</v>
      </c>
      <c r="G60" s="75" t="s">
        <v>1268</v>
      </c>
    </row>
    <row r="61" spans="1:7" x14ac:dyDescent="0.2">
      <c r="A61" s="40">
        <v>1105</v>
      </c>
      <c r="B61" s="39" t="s">
        <v>1243</v>
      </c>
      <c r="C61" s="40" t="s">
        <v>1264</v>
      </c>
      <c r="D61" s="75" t="s">
        <v>1271</v>
      </c>
      <c r="E61" s="75" t="s">
        <v>1266</v>
      </c>
      <c r="F61" s="75" t="s">
        <v>1267</v>
      </c>
      <c r="G61" s="75" t="s">
        <v>1268</v>
      </c>
    </row>
    <row r="62" spans="1:7" x14ac:dyDescent="0.2">
      <c r="A62" s="40">
        <v>1106</v>
      </c>
      <c r="B62" s="39" t="s">
        <v>1243</v>
      </c>
      <c r="C62" s="40" t="s">
        <v>1264</v>
      </c>
      <c r="D62" s="75" t="s">
        <v>1271</v>
      </c>
      <c r="E62" s="75" t="s">
        <v>1266</v>
      </c>
      <c r="F62" s="75" t="s">
        <v>1267</v>
      </c>
      <c r="G62" s="75" t="s">
        <v>1268</v>
      </c>
    </row>
    <row r="63" spans="1:7" x14ac:dyDescent="0.2">
      <c r="A63" s="40">
        <v>1107</v>
      </c>
      <c r="B63" s="39" t="s">
        <v>1243</v>
      </c>
      <c r="C63" s="40" t="s">
        <v>1264</v>
      </c>
      <c r="D63" s="75" t="s">
        <v>1271</v>
      </c>
      <c r="E63" s="75" t="s">
        <v>1266</v>
      </c>
      <c r="F63" s="75" t="s">
        <v>1267</v>
      </c>
      <c r="G63" s="75" t="s">
        <v>1268</v>
      </c>
    </row>
    <row r="64" spans="1:7" x14ac:dyDescent="0.2">
      <c r="A64" s="40">
        <v>1108</v>
      </c>
      <c r="B64" s="39" t="s">
        <v>1243</v>
      </c>
      <c r="C64" s="40" t="s">
        <v>1264</v>
      </c>
      <c r="D64" s="75" t="s">
        <v>1271</v>
      </c>
      <c r="E64" s="75" t="s">
        <v>1266</v>
      </c>
      <c r="F64" s="75" t="s">
        <v>1267</v>
      </c>
      <c r="G64" s="75" t="s">
        <v>1268</v>
      </c>
    </row>
    <row r="65" spans="1:7" x14ac:dyDescent="0.2">
      <c r="A65" s="40">
        <v>1109</v>
      </c>
      <c r="B65" s="39" t="s">
        <v>1243</v>
      </c>
      <c r="C65" s="40" t="s">
        <v>1264</v>
      </c>
      <c r="D65" s="75" t="s">
        <v>1271</v>
      </c>
      <c r="E65" s="75" t="s">
        <v>1266</v>
      </c>
      <c r="F65" s="75" t="s">
        <v>1267</v>
      </c>
      <c r="G65" s="75" t="s">
        <v>1268</v>
      </c>
    </row>
    <row r="66" spans="1:7" x14ac:dyDescent="0.2">
      <c r="A66" s="40">
        <v>1110</v>
      </c>
      <c r="B66" s="39" t="s">
        <v>1243</v>
      </c>
      <c r="C66" s="40" t="s">
        <v>1264</v>
      </c>
      <c r="D66" s="75" t="s">
        <v>1269</v>
      </c>
      <c r="E66" s="75" t="s">
        <v>1266</v>
      </c>
      <c r="F66" s="75" t="s">
        <v>1268</v>
      </c>
      <c r="G66" s="75" t="s">
        <v>1268</v>
      </c>
    </row>
    <row r="67" spans="1:7" x14ac:dyDescent="0.2">
      <c r="A67" s="40">
        <v>1111</v>
      </c>
      <c r="B67" s="39" t="s">
        <v>1270</v>
      </c>
      <c r="C67" s="40" t="s">
        <v>1264</v>
      </c>
      <c r="D67" s="75" t="s">
        <v>1271</v>
      </c>
      <c r="E67" s="75" t="s">
        <v>1266</v>
      </c>
      <c r="F67" s="75" t="s">
        <v>1267</v>
      </c>
      <c r="G67" s="75" t="s">
        <v>1268</v>
      </c>
    </row>
    <row r="68" spans="1:7" x14ac:dyDescent="0.2">
      <c r="A68" s="40">
        <v>1112</v>
      </c>
      <c r="B68" s="39" t="s">
        <v>1243</v>
      </c>
      <c r="C68" s="40" t="s">
        <v>1264</v>
      </c>
      <c r="D68" s="75" t="s">
        <v>1271</v>
      </c>
      <c r="E68" s="75" t="s">
        <v>1266</v>
      </c>
      <c r="F68" s="75" t="s">
        <v>1267</v>
      </c>
      <c r="G68" s="75" t="s">
        <v>1268</v>
      </c>
    </row>
    <row r="69" spans="1:7" x14ac:dyDescent="0.2">
      <c r="A69" s="40">
        <v>1113</v>
      </c>
      <c r="B69" s="39" t="s">
        <v>1243</v>
      </c>
      <c r="C69" s="40" t="s">
        <v>1264</v>
      </c>
      <c r="D69" s="75" t="s">
        <v>1271</v>
      </c>
      <c r="E69" s="75" t="s">
        <v>1266</v>
      </c>
      <c r="F69" s="75" t="s">
        <v>1267</v>
      </c>
      <c r="G69" s="75" t="s">
        <v>1268</v>
      </c>
    </row>
    <row r="70" spans="1:7" x14ac:dyDescent="0.2">
      <c r="A70" s="40">
        <v>1120</v>
      </c>
      <c r="B70" s="39" t="s">
        <v>1243</v>
      </c>
      <c r="C70" s="40" t="s">
        <v>1264</v>
      </c>
      <c r="D70" s="75" t="s">
        <v>1269</v>
      </c>
      <c r="E70" s="75" t="s">
        <v>1266</v>
      </c>
      <c r="F70" s="75" t="s">
        <v>1268</v>
      </c>
      <c r="G70" s="75" t="s">
        <v>1268</v>
      </c>
    </row>
    <row r="71" spans="1:7" x14ac:dyDescent="0.2">
      <c r="A71" s="40">
        <v>1121</v>
      </c>
      <c r="B71" s="39" t="s">
        <v>1270</v>
      </c>
      <c r="C71" s="40" t="s">
        <v>1264</v>
      </c>
      <c r="D71" s="75" t="s">
        <v>1271</v>
      </c>
      <c r="E71" s="75" t="s">
        <v>1266</v>
      </c>
      <c r="F71" s="75" t="s">
        <v>1267</v>
      </c>
      <c r="G71" s="75" t="s">
        <v>1268</v>
      </c>
    </row>
    <row r="72" spans="1:7" x14ac:dyDescent="0.2">
      <c r="A72" s="40">
        <v>1122</v>
      </c>
      <c r="B72" s="39" t="s">
        <v>1243</v>
      </c>
      <c r="C72" s="40" t="s">
        <v>1264</v>
      </c>
      <c r="D72" s="75" t="s">
        <v>1271</v>
      </c>
      <c r="E72" s="75" t="s">
        <v>1266</v>
      </c>
      <c r="F72" s="75" t="s">
        <v>1267</v>
      </c>
      <c r="G72" s="75" t="s">
        <v>1268</v>
      </c>
    </row>
    <row r="73" spans="1:7" x14ac:dyDescent="0.2">
      <c r="A73" s="40">
        <v>1125</v>
      </c>
      <c r="B73" s="39" t="s">
        <v>1243</v>
      </c>
      <c r="C73" s="40" t="s">
        <v>1264</v>
      </c>
      <c r="D73" s="75" t="s">
        <v>1271</v>
      </c>
      <c r="E73" s="75" t="s">
        <v>1266</v>
      </c>
      <c r="F73" s="75" t="s">
        <v>1267</v>
      </c>
      <c r="G73" s="75" t="s">
        <v>1268</v>
      </c>
    </row>
    <row r="74" spans="1:7" x14ac:dyDescent="0.2">
      <c r="A74" s="40">
        <v>1126</v>
      </c>
      <c r="B74" s="39" t="s">
        <v>1243</v>
      </c>
      <c r="C74" s="40" t="s">
        <v>1264</v>
      </c>
      <c r="D74" s="75" t="s">
        <v>1271</v>
      </c>
      <c r="E74" s="75" t="s">
        <v>1266</v>
      </c>
      <c r="F74" s="75" t="s">
        <v>1267</v>
      </c>
      <c r="G74" s="75" t="s">
        <v>1268</v>
      </c>
    </row>
    <row r="75" spans="1:7" x14ac:dyDescent="0.2">
      <c r="A75" s="40">
        <v>1127</v>
      </c>
      <c r="B75" s="39" t="s">
        <v>1243</v>
      </c>
      <c r="C75" s="40" t="s">
        <v>1264</v>
      </c>
      <c r="D75" s="75" t="s">
        <v>1271</v>
      </c>
      <c r="E75" s="75" t="s">
        <v>1266</v>
      </c>
      <c r="F75" s="75" t="s">
        <v>1267</v>
      </c>
      <c r="G75" s="75" t="s">
        <v>1268</v>
      </c>
    </row>
    <row r="76" spans="1:7" x14ac:dyDescent="0.2">
      <c r="A76" s="40">
        <v>1130</v>
      </c>
      <c r="B76" s="39" t="s">
        <v>1243</v>
      </c>
      <c r="C76" s="40" t="s">
        <v>1264</v>
      </c>
      <c r="D76" s="75" t="s">
        <v>1269</v>
      </c>
      <c r="E76" s="75" t="s">
        <v>1266</v>
      </c>
      <c r="F76" s="75" t="s">
        <v>1268</v>
      </c>
      <c r="G76" s="75" t="s">
        <v>1268</v>
      </c>
    </row>
    <row r="77" spans="1:7" x14ac:dyDescent="0.2">
      <c r="A77" s="40">
        <v>1131</v>
      </c>
      <c r="B77" s="39" t="s">
        <v>1270</v>
      </c>
      <c r="C77" s="40" t="s">
        <v>1264</v>
      </c>
      <c r="D77" s="75" t="s">
        <v>1271</v>
      </c>
      <c r="E77" s="75" t="s">
        <v>1266</v>
      </c>
      <c r="F77" s="75" t="s">
        <v>1267</v>
      </c>
      <c r="G77" s="75" t="s">
        <v>1268</v>
      </c>
    </row>
    <row r="78" spans="1:7" x14ac:dyDescent="0.2">
      <c r="A78" s="40">
        <v>1132</v>
      </c>
      <c r="B78" s="39" t="s">
        <v>1243</v>
      </c>
      <c r="C78" s="40" t="s">
        <v>1264</v>
      </c>
      <c r="D78" s="75" t="s">
        <v>1271</v>
      </c>
      <c r="E78" s="75" t="s">
        <v>1266</v>
      </c>
      <c r="F78" s="75" t="s">
        <v>1267</v>
      </c>
      <c r="G78" s="75" t="s">
        <v>1268</v>
      </c>
    </row>
    <row r="79" spans="1:7" x14ac:dyDescent="0.2">
      <c r="A79" s="40">
        <v>1133</v>
      </c>
      <c r="B79" s="39" t="s">
        <v>1243</v>
      </c>
      <c r="C79" s="40" t="s">
        <v>1264</v>
      </c>
      <c r="D79" s="75" t="s">
        <v>1271</v>
      </c>
      <c r="E79" s="75" t="s">
        <v>1266</v>
      </c>
      <c r="F79" s="75" t="s">
        <v>1267</v>
      </c>
      <c r="G79" s="75" t="s">
        <v>1268</v>
      </c>
    </row>
    <row r="80" spans="1:7" x14ac:dyDescent="0.2">
      <c r="A80" s="40">
        <v>1134</v>
      </c>
      <c r="B80" s="39" t="s">
        <v>1243</v>
      </c>
      <c r="C80" s="40" t="s">
        <v>1264</v>
      </c>
      <c r="D80" s="75" t="s">
        <v>1271</v>
      </c>
      <c r="E80" s="75" t="s">
        <v>1266</v>
      </c>
      <c r="F80" s="75" t="s">
        <v>1267</v>
      </c>
      <c r="G80" s="75" t="s">
        <v>1268</v>
      </c>
    </row>
    <row r="81" spans="1:7" x14ac:dyDescent="0.2">
      <c r="A81" s="40">
        <v>1136</v>
      </c>
      <c r="B81" s="39" t="s">
        <v>1243</v>
      </c>
      <c r="C81" s="40" t="s">
        <v>1264</v>
      </c>
      <c r="D81" s="75" t="s">
        <v>1265</v>
      </c>
      <c r="E81" s="75" t="s">
        <v>1266</v>
      </c>
      <c r="F81" s="75" t="s">
        <v>1267</v>
      </c>
      <c r="G81" s="75" t="s">
        <v>1268</v>
      </c>
    </row>
    <row r="82" spans="1:7" x14ac:dyDescent="0.2">
      <c r="A82" s="40">
        <v>1140</v>
      </c>
      <c r="B82" s="39" t="s">
        <v>1243</v>
      </c>
      <c r="C82" s="40" t="s">
        <v>1264</v>
      </c>
      <c r="D82" s="75" t="s">
        <v>1269</v>
      </c>
      <c r="E82" s="75" t="s">
        <v>1266</v>
      </c>
      <c r="F82" s="75" t="s">
        <v>1268</v>
      </c>
      <c r="G82" s="75" t="s">
        <v>1268</v>
      </c>
    </row>
    <row r="83" spans="1:7" x14ac:dyDescent="0.2">
      <c r="A83" s="40">
        <v>1141</v>
      </c>
      <c r="B83" s="39" t="s">
        <v>1270</v>
      </c>
      <c r="C83" s="40" t="s">
        <v>1264</v>
      </c>
      <c r="D83" s="75" t="s">
        <v>1271</v>
      </c>
      <c r="E83" s="75" t="s">
        <v>1266</v>
      </c>
      <c r="F83" s="75" t="s">
        <v>1267</v>
      </c>
      <c r="G83" s="75" t="s">
        <v>1268</v>
      </c>
    </row>
    <row r="84" spans="1:7" x14ac:dyDescent="0.2">
      <c r="A84" s="40">
        <v>1142</v>
      </c>
      <c r="B84" s="39" t="s">
        <v>1243</v>
      </c>
      <c r="C84" s="40" t="s">
        <v>1264</v>
      </c>
      <c r="D84" s="75" t="s">
        <v>1271</v>
      </c>
      <c r="E84" s="75" t="s">
        <v>1266</v>
      </c>
      <c r="F84" s="75" t="s">
        <v>1267</v>
      </c>
      <c r="G84" s="75" t="s">
        <v>1268</v>
      </c>
    </row>
    <row r="85" spans="1:7" x14ac:dyDescent="0.2">
      <c r="A85" s="40">
        <v>1143</v>
      </c>
      <c r="B85" s="39" t="s">
        <v>1243</v>
      </c>
      <c r="C85" s="40" t="s">
        <v>1264</v>
      </c>
      <c r="D85" s="75" t="s">
        <v>1271</v>
      </c>
      <c r="E85" s="75" t="s">
        <v>1266</v>
      </c>
      <c r="F85" s="75" t="s">
        <v>1267</v>
      </c>
      <c r="G85" s="75" t="s">
        <v>1268</v>
      </c>
    </row>
    <row r="86" spans="1:7" x14ac:dyDescent="0.2">
      <c r="A86" s="40">
        <v>1144</v>
      </c>
      <c r="B86" s="39" t="s">
        <v>1243</v>
      </c>
      <c r="C86" s="40" t="s">
        <v>1264</v>
      </c>
      <c r="D86" s="75" t="s">
        <v>1271</v>
      </c>
      <c r="E86" s="75" t="s">
        <v>1266</v>
      </c>
      <c r="F86" s="75" t="s">
        <v>1267</v>
      </c>
      <c r="G86" s="75" t="s">
        <v>1268</v>
      </c>
    </row>
    <row r="87" spans="1:7" x14ac:dyDescent="0.2">
      <c r="A87" s="40">
        <v>1145</v>
      </c>
      <c r="B87" s="39" t="s">
        <v>1243</v>
      </c>
      <c r="C87" s="40" t="s">
        <v>1264</v>
      </c>
      <c r="D87" s="75" t="s">
        <v>1271</v>
      </c>
      <c r="E87" s="75" t="s">
        <v>1266</v>
      </c>
      <c r="F87" s="75" t="s">
        <v>1267</v>
      </c>
      <c r="G87" s="75" t="s">
        <v>1268</v>
      </c>
    </row>
    <row r="88" spans="1:7" x14ac:dyDescent="0.2">
      <c r="A88" s="40">
        <v>1147</v>
      </c>
      <c r="B88" s="39" t="s">
        <v>1243</v>
      </c>
      <c r="C88" s="40" t="s">
        <v>1264</v>
      </c>
      <c r="D88" s="75" t="s">
        <v>1271</v>
      </c>
      <c r="E88" s="75" t="s">
        <v>1266</v>
      </c>
      <c r="F88" s="75" t="s">
        <v>1267</v>
      </c>
      <c r="G88" s="75" t="s">
        <v>1268</v>
      </c>
    </row>
    <row r="89" spans="1:7" x14ac:dyDescent="0.2">
      <c r="A89" s="40">
        <v>1148</v>
      </c>
      <c r="B89" s="39" t="s">
        <v>1243</v>
      </c>
      <c r="C89" s="40" t="s">
        <v>1264</v>
      </c>
      <c r="D89" s="75" t="s">
        <v>1265</v>
      </c>
      <c r="E89" s="75" t="s">
        <v>1266</v>
      </c>
      <c r="F89" s="75" t="s">
        <v>1267</v>
      </c>
      <c r="G89" s="75" t="s">
        <v>1268</v>
      </c>
    </row>
    <row r="90" spans="1:7" x14ac:dyDescent="0.2">
      <c r="A90" s="40">
        <v>1150</v>
      </c>
      <c r="B90" s="39" t="s">
        <v>1243</v>
      </c>
      <c r="C90" s="40" t="s">
        <v>1264</v>
      </c>
      <c r="D90" s="75" t="s">
        <v>1269</v>
      </c>
      <c r="E90" s="75" t="s">
        <v>1266</v>
      </c>
      <c r="F90" s="75" t="s">
        <v>1268</v>
      </c>
      <c r="G90" s="75" t="s">
        <v>1268</v>
      </c>
    </row>
    <row r="91" spans="1:7" x14ac:dyDescent="0.2">
      <c r="A91" s="40">
        <v>1151</v>
      </c>
      <c r="B91" s="39" t="s">
        <v>1270</v>
      </c>
      <c r="C91" s="40" t="s">
        <v>1264</v>
      </c>
      <c r="D91" s="75" t="s">
        <v>1271</v>
      </c>
      <c r="E91" s="75" t="s">
        <v>1266</v>
      </c>
      <c r="F91" s="75" t="s">
        <v>1267</v>
      </c>
      <c r="G91" s="75" t="s">
        <v>1268</v>
      </c>
    </row>
    <row r="92" spans="1:7" x14ac:dyDescent="0.2">
      <c r="A92" s="40">
        <v>1152</v>
      </c>
      <c r="B92" s="39" t="s">
        <v>1243</v>
      </c>
      <c r="C92" s="40" t="s">
        <v>1264</v>
      </c>
      <c r="D92" s="75" t="s">
        <v>1271</v>
      </c>
      <c r="E92" s="75" t="s">
        <v>1266</v>
      </c>
      <c r="F92" s="75" t="s">
        <v>1267</v>
      </c>
      <c r="G92" s="75" t="s">
        <v>1268</v>
      </c>
    </row>
    <row r="93" spans="1:7" x14ac:dyDescent="0.2">
      <c r="A93" s="40">
        <v>1153</v>
      </c>
      <c r="B93" s="39" t="s">
        <v>1243</v>
      </c>
      <c r="C93" s="40" t="s">
        <v>1264</v>
      </c>
      <c r="D93" s="75" t="s">
        <v>1271</v>
      </c>
      <c r="E93" s="75" t="s">
        <v>1266</v>
      </c>
      <c r="F93" s="75" t="s">
        <v>1267</v>
      </c>
      <c r="G93" s="75" t="s">
        <v>1268</v>
      </c>
    </row>
    <row r="94" spans="1:7" x14ac:dyDescent="0.2">
      <c r="A94" s="40">
        <v>1160</v>
      </c>
      <c r="B94" s="39" t="s">
        <v>1243</v>
      </c>
      <c r="C94" s="40" t="s">
        <v>1264</v>
      </c>
      <c r="D94" s="75" t="s">
        <v>1269</v>
      </c>
      <c r="E94" s="75" t="s">
        <v>1266</v>
      </c>
      <c r="F94" s="75" t="s">
        <v>1268</v>
      </c>
      <c r="G94" s="75" t="s">
        <v>1268</v>
      </c>
    </row>
    <row r="95" spans="1:7" x14ac:dyDescent="0.2">
      <c r="A95" s="40">
        <v>1161</v>
      </c>
      <c r="B95" s="39" t="s">
        <v>1270</v>
      </c>
      <c r="C95" s="40" t="s">
        <v>1264</v>
      </c>
      <c r="D95" s="75" t="s">
        <v>1271</v>
      </c>
      <c r="E95" s="75" t="s">
        <v>1266</v>
      </c>
      <c r="F95" s="75" t="s">
        <v>1267</v>
      </c>
      <c r="G95" s="75" t="s">
        <v>1268</v>
      </c>
    </row>
    <row r="96" spans="1:7" x14ac:dyDescent="0.2">
      <c r="A96" s="40">
        <v>1163</v>
      </c>
      <c r="B96" s="39" t="s">
        <v>1243</v>
      </c>
      <c r="C96" s="40" t="s">
        <v>1264</v>
      </c>
      <c r="D96" s="75" t="s">
        <v>1271</v>
      </c>
      <c r="E96" s="75" t="s">
        <v>1266</v>
      </c>
      <c r="F96" s="75" t="s">
        <v>1267</v>
      </c>
      <c r="G96" s="75" t="s">
        <v>1268</v>
      </c>
    </row>
    <row r="97" spans="1:7" x14ac:dyDescent="0.2">
      <c r="A97" s="40">
        <v>1165</v>
      </c>
      <c r="B97" s="39" t="s">
        <v>1243</v>
      </c>
      <c r="C97" s="40" t="s">
        <v>1264</v>
      </c>
      <c r="D97" s="75" t="s">
        <v>1271</v>
      </c>
      <c r="E97" s="75" t="s">
        <v>1266</v>
      </c>
      <c r="F97" s="75" t="s">
        <v>1267</v>
      </c>
      <c r="G97" s="75" t="s">
        <v>1268</v>
      </c>
    </row>
    <row r="98" spans="1:7" x14ac:dyDescent="0.2">
      <c r="A98" s="40">
        <v>1166</v>
      </c>
      <c r="B98" s="39" t="s">
        <v>1243</v>
      </c>
      <c r="C98" s="40" t="s">
        <v>1264</v>
      </c>
      <c r="D98" s="75" t="s">
        <v>1271</v>
      </c>
      <c r="E98" s="75" t="s">
        <v>1266</v>
      </c>
      <c r="F98" s="75" t="s">
        <v>1267</v>
      </c>
      <c r="G98" s="75" t="s">
        <v>1268</v>
      </c>
    </row>
    <row r="99" spans="1:7" x14ac:dyDescent="0.2">
      <c r="A99" s="40">
        <v>1170</v>
      </c>
      <c r="B99" s="39" t="s">
        <v>1243</v>
      </c>
      <c r="C99" s="40" t="s">
        <v>1264</v>
      </c>
      <c r="D99" s="75" t="s">
        <v>1269</v>
      </c>
      <c r="E99" s="75" t="s">
        <v>1266</v>
      </c>
      <c r="F99" s="75" t="s">
        <v>1268</v>
      </c>
      <c r="G99" s="75" t="s">
        <v>1268</v>
      </c>
    </row>
    <row r="100" spans="1:7" x14ac:dyDescent="0.2">
      <c r="A100" s="40">
        <v>1171</v>
      </c>
      <c r="B100" s="39" t="s">
        <v>1270</v>
      </c>
      <c r="C100" s="40" t="s">
        <v>1264</v>
      </c>
      <c r="D100" s="75" t="s">
        <v>1271</v>
      </c>
      <c r="E100" s="75" t="s">
        <v>1266</v>
      </c>
      <c r="F100" s="75" t="s">
        <v>1267</v>
      </c>
      <c r="G100" s="75" t="s">
        <v>1268</v>
      </c>
    </row>
    <row r="101" spans="1:7" x14ac:dyDescent="0.2">
      <c r="A101" s="40">
        <v>1172</v>
      </c>
      <c r="B101" s="39" t="s">
        <v>1243</v>
      </c>
      <c r="C101" s="40" t="s">
        <v>1264</v>
      </c>
      <c r="D101" s="75" t="s">
        <v>1271</v>
      </c>
      <c r="E101" s="75" t="s">
        <v>1266</v>
      </c>
      <c r="F101" s="75" t="s">
        <v>1267</v>
      </c>
      <c r="G101" s="75" t="s">
        <v>1268</v>
      </c>
    </row>
    <row r="102" spans="1:7" x14ac:dyDescent="0.2">
      <c r="A102" s="40">
        <v>1173</v>
      </c>
      <c r="B102" s="39" t="s">
        <v>1243</v>
      </c>
      <c r="C102" s="40" t="s">
        <v>1264</v>
      </c>
      <c r="D102" s="75" t="s">
        <v>1271</v>
      </c>
      <c r="E102" s="75" t="s">
        <v>1266</v>
      </c>
      <c r="F102" s="75" t="s">
        <v>1267</v>
      </c>
      <c r="G102" s="75" t="s">
        <v>1268</v>
      </c>
    </row>
    <row r="103" spans="1:7" x14ac:dyDescent="0.2">
      <c r="A103" s="40">
        <v>1180</v>
      </c>
      <c r="B103" s="39" t="s">
        <v>1243</v>
      </c>
      <c r="C103" s="40" t="s">
        <v>1264</v>
      </c>
      <c r="D103" s="75" t="s">
        <v>1269</v>
      </c>
      <c r="E103" s="75" t="s">
        <v>1266</v>
      </c>
      <c r="F103" s="75" t="s">
        <v>1268</v>
      </c>
      <c r="G103" s="75" t="s">
        <v>1268</v>
      </c>
    </row>
    <row r="104" spans="1:7" x14ac:dyDescent="0.2">
      <c r="A104" s="40">
        <v>1181</v>
      </c>
      <c r="B104" s="39" t="s">
        <v>1270</v>
      </c>
      <c r="C104" s="40" t="s">
        <v>1264</v>
      </c>
      <c r="D104" s="75" t="s">
        <v>1271</v>
      </c>
      <c r="E104" s="75" t="s">
        <v>1266</v>
      </c>
      <c r="F104" s="75" t="s">
        <v>1267</v>
      </c>
      <c r="G104" s="75" t="s">
        <v>1268</v>
      </c>
    </row>
    <row r="105" spans="1:7" x14ac:dyDescent="0.2">
      <c r="A105" s="40">
        <v>1182</v>
      </c>
      <c r="B105" s="39" t="s">
        <v>1243</v>
      </c>
      <c r="C105" s="40" t="s">
        <v>1264</v>
      </c>
      <c r="D105" s="75" t="s">
        <v>1271</v>
      </c>
      <c r="E105" s="75" t="s">
        <v>1266</v>
      </c>
      <c r="F105" s="75" t="s">
        <v>1267</v>
      </c>
      <c r="G105" s="75" t="s">
        <v>1268</v>
      </c>
    </row>
    <row r="106" spans="1:7" x14ac:dyDescent="0.2">
      <c r="A106" s="40">
        <v>1183</v>
      </c>
      <c r="B106" s="39" t="s">
        <v>1243</v>
      </c>
      <c r="C106" s="40" t="s">
        <v>1264</v>
      </c>
      <c r="D106" s="75" t="s">
        <v>1271</v>
      </c>
      <c r="E106" s="75" t="s">
        <v>1266</v>
      </c>
      <c r="F106" s="75" t="s">
        <v>1267</v>
      </c>
      <c r="G106" s="75" t="s">
        <v>1268</v>
      </c>
    </row>
    <row r="107" spans="1:7" x14ac:dyDescent="0.2">
      <c r="A107" s="40">
        <v>1190</v>
      </c>
      <c r="B107" s="39" t="s">
        <v>1243</v>
      </c>
      <c r="C107" s="40" t="s">
        <v>1264</v>
      </c>
      <c r="D107" s="75" t="s">
        <v>1269</v>
      </c>
      <c r="E107" s="75" t="s">
        <v>1266</v>
      </c>
      <c r="F107" s="75" t="s">
        <v>1268</v>
      </c>
      <c r="G107" s="75" t="s">
        <v>1268</v>
      </c>
    </row>
    <row r="108" spans="1:7" x14ac:dyDescent="0.2">
      <c r="A108" s="40">
        <v>1191</v>
      </c>
      <c r="B108" s="39" t="s">
        <v>1270</v>
      </c>
      <c r="C108" s="40" t="s">
        <v>1264</v>
      </c>
      <c r="D108" s="75" t="s">
        <v>1271</v>
      </c>
      <c r="E108" s="75" t="s">
        <v>1266</v>
      </c>
      <c r="F108" s="75" t="s">
        <v>1267</v>
      </c>
      <c r="G108" s="75" t="s">
        <v>1268</v>
      </c>
    </row>
    <row r="109" spans="1:7" x14ac:dyDescent="0.2">
      <c r="A109" s="40">
        <v>1192</v>
      </c>
      <c r="B109" s="39" t="s">
        <v>1243</v>
      </c>
      <c r="C109" s="40" t="s">
        <v>1264</v>
      </c>
      <c r="D109" s="75" t="s">
        <v>1271</v>
      </c>
      <c r="E109" s="75" t="s">
        <v>1266</v>
      </c>
      <c r="F109" s="75" t="s">
        <v>1267</v>
      </c>
      <c r="G109" s="75" t="s">
        <v>1268</v>
      </c>
    </row>
    <row r="110" spans="1:7" x14ac:dyDescent="0.2">
      <c r="A110" s="40">
        <v>1193</v>
      </c>
      <c r="B110" s="39" t="s">
        <v>1243</v>
      </c>
      <c r="C110" s="40" t="s">
        <v>1264</v>
      </c>
      <c r="D110" s="75" t="s">
        <v>1271</v>
      </c>
      <c r="E110" s="75" t="s">
        <v>1266</v>
      </c>
      <c r="F110" s="75" t="s">
        <v>1267</v>
      </c>
      <c r="G110" s="75" t="s">
        <v>1268</v>
      </c>
    </row>
    <row r="111" spans="1:7" x14ac:dyDescent="0.2">
      <c r="A111" s="40">
        <v>1194</v>
      </c>
      <c r="B111" s="39" t="s">
        <v>1243</v>
      </c>
      <c r="C111" s="40" t="s">
        <v>1264</v>
      </c>
      <c r="D111" s="75" t="s">
        <v>1271</v>
      </c>
      <c r="E111" s="75" t="s">
        <v>1266</v>
      </c>
      <c r="F111" s="75" t="s">
        <v>1267</v>
      </c>
      <c r="G111" s="75" t="s">
        <v>1268</v>
      </c>
    </row>
    <row r="112" spans="1:7" x14ac:dyDescent="0.2">
      <c r="A112" s="40">
        <v>1195</v>
      </c>
      <c r="B112" s="39" t="s">
        <v>1243</v>
      </c>
      <c r="C112" s="40" t="s">
        <v>1264</v>
      </c>
      <c r="D112" s="75" t="s">
        <v>1271</v>
      </c>
      <c r="E112" s="75" t="s">
        <v>1266</v>
      </c>
      <c r="F112" s="75" t="s">
        <v>1267</v>
      </c>
      <c r="G112" s="75" t="s">
        <v>1268</v>
      </c>
    </row>
    <row r="113" spans="1:7" x14ac:dyDescent="0.2">
      <c r="A113" s="40">
        <v>1196</v>
      </c>
      <c r="B113" s="39" t="s">
        <v>1243</v>
      </c>
      <c r="C113" s="40" t="s">
        <v>1264</v>
      </c>
      <c r="D113" s="75" t="s">
        <v>1271</v>
      </c>
      <c r="E113" s="75" t="s">
        <v>1266</v>
      </c>
      <c r="F113" s="75" t="s">
        <v>1267</v>
      </c>
      <c r="G113" s="75" t="s">
        <v>1268</v>
      </c>
    </row>
    <row r="114" spans="1:7" x14ac:dyDescent="0.2">
      <c r="A114" s="40">
        <v>1200</v>
      </c>
      <c r="B114" s="39" t="s">
        <v>1243</v>
      </c>
      <c r="C114" s="40" t="s">
        <v>1264</v>
      </c>
      <c r="D114" s="75" t="s">
        <v>1269</v>
      </c>
      <c r="E114" s="75" t="s">
        <v>1266</v>
      </c>
      <c r="F114" s="75" t="s">
        <v>1268</v>
      </c>
      <c r="G114" s="75" t="s">
        <v>1268</v>
      </c>
    </row>
    <row r="115" spans="1:7" x14ac:dyDescent="0.2">
      <c r="A115" s="40">
        <v>1201</v>
      </c>
      <c r="B115" s="39" t="s">
        <v>1270</v>
      </c>
      <c r="C115" s="40" t="s">
        <v>1264</v>
      </c>
      <c r="D115" s="75" t="s">
        <v>1271</v>
      </c>
      <c r="E115" s="75" t="s">
        <v>1266</v>
      </c>
      <c r="F115" s="75" t="s">
        <v>1267</v>
      </c>
      <c r="G115" s="75" t="s">
        <v>1268</v>
      </c>
    </row>
    <row r="116" spans="1:7" x14ac:dyDescent="0.2">
      <c r="A116" s="40">
        <v>1202</v>
      </c>
      <c r="B116" s="39" t="s">
        <v>1243</v>
      </c>
      <c r="C116" s="40" t="s">
        <v>1264</v>
      </c>
      <c r="D116" s="75" t="s">
        <v>1271</v>
      </c>
      <c r="E116" s="75" t="s">
        <v>1266</v>
      </c>
      <c r="F116" s="75" t="s">
        <v>1267</v>
      </c>
      <c r="G116" s="75" t="s">
        <v>1268</v>
      </c>
    </row>
    <row r="117" spans="1:7" x14ac:dyDescent="0.2">
      <c r="A117" s="40">
        <v>1203</v>
      </c>
      <c r="B117" s="39" t="s">
        <v>1243</v>
      </c>
      <c r="C117" s="40" t="s">
        <v>1264</v>
      </c>
      <c r="D117" s="75" t="s">
        <v>1271</v>
      </c>
      <c r="E117" s="75" t="s">
        <v>1266</v>
      </c>
      <c r="F117" s="75" t="s">
        <v>1267</v>
      </c>
      <c r="G117" s="75" t="s">
        <v>1268</v>
      </c>
    </row>
    <row r="118" spans="1:7" x14ac:dyDescent="0.2">
      <c r="A118" s="40">
        <v>1204</v>
      </c>
      <c r="B118" s="39" t="s">
        <v>1243</v>
      </c>
      <c r="C118" s="40" t="s">
        <v>1264</v>
      </c>
      <c r="D118" s="75" t="s">
        <v>1271</v>
      </c>
      <c r="E118" s="75" t="s">
        <v>1266</v>
      </c>
      <c r="F118" s="75" t="s">
        <v>1267</v>
      </c>
      <c r="G118" s="75" t="s">
        <v>1268</v>
      </c>
    </row>
    <row r="119" spans="1:7" x14ac:dyDescent="0.2">
      <c r="A119" s="40">
        <v>1205</v>
      </c>
      <c r="B119" s="39" t="s">
        <v>1243</v>
      </c>
      <c r="C119" s="40" t="s">
        <v>1264</v>
      </c>
      <c r="D119" s="75" t="s">
        <v>1271</v>
      </c>
      <c r="E119" s="75" t="s">
        <v>1266</v>
      </c>
      <c r="F119" s="75" t="s">
        <v>1267</v>
      </c>
      <c r="G119" s="75" t="s">
        <v>1268</v>
      </c>
    </row>
    <row r="120" spans="1:7" x14ac:dyDescent="0.2">
      <c r="A120" s="40">
        <v>1206</v>
      </c>
      <c r="B120" s="39" t="s">
        <v>1243</v>
      </c>
      <c r="C120" s="40" t="s">
        <v>1264</v>
      </c>
      <c r="D120" s="75" t="s">
        <v>1271</v>
      </c>
      <c r="E120" s="75" t="s">
        <v>1266</v>
      </c>
      <c r="F120" s="75" t="s">
        <v>1267</v>
      </c>
      <c r="G120" s="75" t="s">
        <v>1268</v>
      </c>
    </row>
    <row r="121" spans="1:7" x14ac:dyDescent="0.2">
      <c r="A121" s="40">
        <v>1210</v>
      </c>
      <c r="B121" s="39" t="s">
        <v>1243</v>
      </c>
      <c r="C121" s="40" t="s">
        <v>1264</v>
      </c>
      <c r="D121" s="75" t="s">
        <v>1269</v>
      </c>
      <c r="E121" s="75" t="s">
        <v>1266</v>
      </c>
      <c r="F121" s="75" t="s">
        <v>1268</v>
      </c>
      <c r="G121" s="75" t="s">
        <v>1268</v>
      </c>
    </row>
    <row r="122" spans="1:7" x14ac:dyDescent="0.2">
      <c r="A122" s="40">
        <v>1211</v>
      </c>
      <c r="B122" s="39" t="s">
        <v>1270</v>
      </c>
      <c r="C122" s="40" t="s">
        <v>1264</v>
      </c>
      <c r="D122" s="75" t="s">
        <v>1271</v>
      </c>
      <c r="E122" s="75" t="s">
        <v>1266</v>
      </c>
      <c r="F122" s="75" t="s">
        <v>1267</v>
      </c>
      <c r="G122" s="75" t="s">
        <v>1268</v>
      </c>
    </row>
    <row r="123" spans="1:7" x14ac:dyDescent="0.2">
      <c r="A123" s="40">
        <v>1212</v>
      </c>
      <c r="B123" s="39" t="s">
        <v>1243</v>
      </c>
      <c r="C123" s="40" t="s">
        <v>1264</v>
      </c>
      <c r="D123" s="75" t="s">
        <v>1271</v>
      </c>
      <c r="E123" s="75" t="s">
        <v>1266</v>
      </c>
      <c r="F123" s="75" t="s">
        <v>1267</v>
      </c>
      <c r="G123" s="75" t="s">
        <v>1268</v>
      </c>
    </row>
    <row r="124" spans="1:7" x14ac:dyDescent="0.2">
      <c r="A124" s="40">
        <v>1213</v>
      </c>
      <c r="B124" s="39" t="s">
        <v>1243</v>
      </c>
      <c r="C124" s="40" t="s">
        <v>1264</v>
      </c>
      <c r="D124" s="75" t="s">
        <v>1271</v>
      </c>
      <c r="E124" s="75" t="s">
        <v>1266</v>
      </c>
      <c r="F124" s="75" t="s">
        <v>1267</v>
      </c>
      <c r="G124" s="75" t="s">
        <v>1268</v>
      </c>
    </row>
    <row r="125" spans="1:7" x14ac:dyDescent="0.2">
      <c r="A125" s="40">
        <v>1214</v>
      </c>
      <c r="B125" s="39" t="s">
        <v>1243</v>
      </c>
      <c r="C125" s="40" t="s">
        <v>1264</v>
      </c>
      <c r="D125" s="75" t="s">
        <v>1271</v>
      </c>
      <c r="E125" s="75" t="s">
        <v>1266</v>
      </c>
      <c r="F125" s="75" t="s">
        <v>1267</v>
      </c>
      <c r="G125" s="75" t="s">
        <v>1268</v>
      </c>
    </row>
    <row r="126" spans="1:7" x14ac:dyDescent="0.2">
      <c r="A126" s="40">
        <v>1215</v>
      </c>
      <c r="B126" s="39" t="s">
        <v>1243</v>
      </c>
      <c r="C126" s="40" t="s">
        <v>1264</v>
      </c>
      <c r="D126" s="75" t="s">
        <v>1271</v>
      </c>
      <c r="E126" s="75" t="s">
        <v>1266</v>
      </c>
      <c r="F126" s="75" t="s">
        <v>1267</v>
      </c>
      <c r="G126" s="75" t="s">
        <v>1268</v>
      </c>
    </row>
    <row r="127" spans="1:7" x14ac:dyDescent="0.2">
      <c r="A127" s="40">
        <v>1216</v>
      </c>
      <c r="B127" s="39" t="s">
        <v>1243</v>
      </c>
      <c r="C127" s="40" t="s">
        <v>1264</v>
      </c>
      <c r="D127" s="75" t="s">
        <v>1271</v>
      </c>
      <c r="E127" s="75" t="s">
        <v>1266</v>
      </c>
      <c r="F127" s="75" t="s">
        <v>1267</v>
      </c>
      <c r="G127" s="75" t="s">
        <v>1268</v>
      </c>
    </row>
    <row r="128" spans="1:7" x14ac:dyDescent="0.2">
      <c r="A128" s="40">
        <v>1217</v>
      </c>
      <c r="B128" s="39" t="s">
        <v>1243</v>
      </c>
      <c r="C128" s="40" t="s">
        <v>1264</v>
      </c>
      <c r="D128" s="75" t="s">
        <v>1271</v>
      </c>
      <c r="E128" s="75" t="s">
        <v>1266</v>
      </c>
      <c r="F128" s="75" t="s">
        <v>1267</v>
      </c>
      <c r="G128" s="75" t="s">
        <v>1268</v>
      </c>
    </row>
    <row r="129" spans="1:7" x14ac:dyDescent="0.2">
      <c r="A129" s="40">
        <v>1218</v>
      </c>
      <c r="B129" s="39" t="s">
        <v>1243</v>
      </c>
      <c r="C129" s="40" t="s">
        <v>1264</v>
      </c>
      <c r="D129" s="75" t="s">
        <v>1271</v>
      </c>
      <c r="E129" s="75" t="s">
        <v>1266</v>
      </c>
      <c r="F129" s="75" t="s">
        <v>1267</v>
      </c>
      <c r="G129" s="75" t="s">
        <v>1268</v>
      </c>
    </row>
    <row r="130" spans="1:7" x14ac:dyDescent="0.2">
      <c r="A130" s="40">
        <v>1220</v>
      </c>
      <c r="B130" s="39" t="s">
        <v>1243</v>
      </c>
      <c r="C130" s="40" t="s">
        <v>1264</v>
      </c>
      <c r="D130" s="75" t="s">
        <v>1269</v>
      </c>
      <c r="E130" s="75" t="s">
        <v>1266</v>
      </c>
      <c r="F130" s="75" t="s">
        <v>1268</v>
      </c>
      <c r="G130" s="75" t="s">
        <v>1268</v>
      </c>
    </row>
    <row r="131" spans="1:7" x14ac:dyDescent="0.2">
      <c r="A131" s="40">
        <v>1221</v>
      </c>
      <c r="B131" s="39" t="s">
        <v>1270</v>
      </c>
      <c r="C131" s="40" t="s">
        <v>1264</v>
      </c>
      <c r="D131" s="75" t="s">
        <v>1271</v>
      </c>
      <c r="E131" s="75" t="s">
        <v>1266</v>
      </c>
      <c r="F131" s="75" t="s">
        <v>1267</v>
      </c>
      <c r="G131" s="75" t="s">
        <v>1268</v>
      </c>
    </row>
    <row r="132" spans="1:7" x14ac:dyDescent="0.2">
      <c r="A132" s="40">
        <v>1222</v>
      </c>
      <c r="B132" s="39" t="s">
        <v>1243</v>
      </c>
      <c r="C132" s="40" t="s">
        <v>1264</v>
      </c>
      <c r="D132" s="75" t="s">
        <v>1271</v>
      </c>
      <c r="E132" s="75" t="s">
        <v>1266</v>
      </c>
      <c r="F132" s="75" t="s">
        <v>1267</v>
      </c>
      <c r="G132" s="75" t="s">
        <v>1268</v>
      </c>
    </row>
    <row r="133" spans="1:7" x14ac:dyDescent="0.2">
      <c r="A133" s="40">
        <v>1223</v>
      </c>
      <c r="B133" s="39" t="s">
        <v>1243</v>
      </c>
      <c r="C133" s="40" t="s">
        <v>1264</v>
      </c>
      <c r="D133" s="75" t="s">
        <v>1271</v>
      </c>
      <c r="E133" s="75" t="s">
        <v>1266</v>
      </c>
      <c r="F133" s="75" t="s">
        <v>1267</v>
      </c>
      <c r="G133" s="75" t="s">
        <v>1268</v>
      </c>
    </row>
    <row r="134" spans="1:7" x14ac:dyDescent="0.2">
      <c r="A134" s="40">
        <v>1224</v>
      </c>
      <c r="B134" s="39" t="s">
        <v>1243</v>
      </c>
      <c r="C134" s="40" t="s">
        <v>1264</v>
      </c>
      <c r="D134" s="75" t="s">
        <v>1271</v>
      </c>
      <c r="E134" s="75" t="s">
        <v>1266</v>
      </c>
      <c r="F134" s="75" t="s">
        <v>1267</v>
      </c>
      <c r="G134" s="75" t="s">
        <v>1268</v>
      </c>
    </row>
    <row r="135" spans="1:7" x14ac:dyDescent="0.2">
      <c r="A135" s="40">
        <v>1225</v>
      </c>
      <c r="B135" s="39" t="s">
        <v>1243</v>
      </c>
      <c r="C135" s="40" t="s">
        <v>1264</v>
      </c>
      <c r="D135" s="75" t="s">
        <v>1271</v>
      </c>
      <c r="E135" s="75" t="s">
        <v>1266</v>
      </c>
      <c r="F135" s="75" t="s">
        <v>1267</v>
      </c>
      <c r="G135" s="75" t="s">
        <v>1268</v>
      </c>
    </row>
    <row r="136" spans="1:7" x14ac:dyDescent="0.2">
      <c r="A136" s="40">
        <v>1226</v>
      </c>
      <c r="B136" s="39" t="s">
        <v>1243</v>
      </c>
      <c r="C136" s="40" t="s">
        <v>1264</v>
      </c>
      <c r="D136" s="75" t="s">
        <v>1271</v>
      </c>
      <c r="E136" s="75" t="s">
        <v>1266</v>
      </c>
      <c r="F136" s="75" t="s">
        <v>1267</v>
      </c>
      <c r="G136" s="75" t="s">
        <v>1268</v>
      </c>
    </row>
    <row r="137" spans="1:7" x14ac:dyDescent="0.2">
      <c r="A137" s="40">
        <v>1228</v>
      </c>
      <c r="B137" s="39" t="s">
        <v>1243</v>
      </c>
      <c r="C137" s="40" t="s">
        <v>1264</v>
      </c>
      <c r="D137" s="75" t="s">
        <v>1271</v>
      </c>
      <c r="E137" s="75" t="s">
        <v>1266</v>
      </c>
      <c r="F137" s="75" t="s">
        <v>1267</v>
      </c>
      <c r="G137" s="75" t="s">
        <v>1268</v>
      </c>
    </row>
    <row r="138" spans="1:7" x14ac:dyDescent="0.2">
      <c r="A138" s="40">
        <v>1229</v>
      </c>
      <c r="B138" s="39" t="s">
        <v>1243</v>
      </c>
      <c r="C138" s="40" t="s">
        <v>1264</v>
      </c>
      <c r="D138" s="75" t="s">
        <v>1271</v>
      </c>
      <c r="E138" s="75" t="s">
        <v>1266</v>
      </c>
      <c r="F138" s="75" t="s">
        <v>1267</v>
      </c>
      <c r="G138" s="75" t="s">
        <v>1268</v>
      </c>
    </row>
    <row r="139" spans="1:7" x14ac:dyDescent="0.2">
      <c r="A139" s="40">
        <v>1230</v>
      </c>
      <c r="B139" s="39" t="s">
        <v>1243</v>
      </c>
      <c r="C139" s="40" t="s">
        <v>1264</v>
      </c>
      <c r="D139" s="75" t="s">
        <v>1269</v>
      </c>
      <c r="E139" s="75" t="s">
        <v>1266</v>
      </c>
      <c r="F139" s="75" t="s">
        <v>1268</v>
      </c>
      <c r="G139" s="75" t="s">
        <v>1268</v>
      </c>
    </row>
    <row r="140" spans="1:7" x14ac:dyDescent="0.2">
      <c r="A140" s="40">
        <v>1231</v>
      </c>
      <c r="B140" s="39" t="s">
        <v>1270</v>
      </c>
      <c r="C140" s="40" t="s">
        <v>1264</v>
      </c>
      <c r="D140" s="75" t="s">
        <v>1271</v>
      </c>
      <c r="E140" s="75" t="s">
        <v>1266</v>
      </c>
      <c r="F140" s="75" t="s">
        <v>1267</v>
      </c>
      <c r="G140" s="75" t="s">
        <v>1268</v>
      </c>
    </row>
    <row r="141" spans="1:7" x14ac:dyDescent="0.2">
      <c r="A141" s="40">
        <v>1232</v>
      </c>
      <c r="B141" s="39" t="s">
        <v>1243</v>
      </c>
      <c r="C141" s="40" t="s">
        <v>1264</v>
      </c>
      <c r="D141" s="75" t="s">
        <v>1271</v>
      </c>
      <c r="E141" s="75" t="s">
        <v>1266</v>
      </c>
      <c r="F141" s="75" t="s">
        <v>1267</v>
      </c>
      <c r="G141" s="75" t="s">
        <v>1268</v>
      </c>
    </row>
    <row r="142" spans="1:7" x14ac:dyDescent="0.2">
      <c r="A142" s="40">
        <v>1233</v>
      </c>
      <c r="B142" s="39" t="s">
        <v>1243</v>
      </c>
      <c r="C142" s="40" t="s">
        <v>1264</v>
      </c>
      <c r="D142" s="75" t="s">
        <v>1271</v>
      </c>
      <c r="E142" s="75" t="s">
        <v>1266</v>
      </c>
      <c r="F142" s="75" t="s">
        <v>1267</v>
      </c>
      <c r="G142" s="75" t="s">
        <v>1268</v>
      </c>
    </row>
    <row r="143" spans="1:7" x14ac:dyDescent="0.2">
      <c r="A143" s="40">
        <v>1234</v>
      </c>
      <c r="B143" s="39" t="s">
        <v>1243</v>
      </c>
      <c r="C143" s="40" t="s">
        <v>1264</v>
      </c>
      <c r="D143" s="75" t="s">
        <v>1271</v>
      </c>
      <c r="E143" s="75" t="s">
        <v>1266</v>
      </c>
      <c r="F143" s="75" t="s">
        <v>1267</v>
      </c>
      <c r="G143" s="75" t="s">
        <v>1268</v>
      </c>
    </row>
    <row r="144" spans="1:7" x14ac:dyDescent="0.2">
      <c r="A144" s="40">
        <v>1235</v>
      </c>
      <c r="B144" s="39" t="s">
        <v>1243</v>
      </c>
      <c r="C144" s="40" t="s">
        <v>1264</v>
      </c>
      <c r="D144" s="75" t="s">
        <v>1271</v>
      </c>
      <c r="E144" s="75" t="s">
        <v>1266</v>
      </c>
      <c r="F144" s="75" t="s">
        <v>1267</v>
      </c>
      <c r="G144" s="75" t="s">
        <v>1268</v>
      </c>
    </row>
    <row r="145" spans="1:7" x14ac:dyDescent="0.2">
      <c r="A145" s="40">
        <v>1236</v>
      </c>
      <c r="B145" s="39" t="s">
        <v>1243</v>
      </c>
      <c r="C145" s="40" t="s">
        <v>1264</v>
      </c>
      <c r="D145" s="75" t="s">
        <v>1271</v>
      </c>
      <c r="E145" s="75" t="s">
        <v>1266</v>
      </c>
      <c r="F145" s="75" t="s">
        <v>1267</v>
      </c>
      <c r="G145" s="75" t="s">
        <v>1268</v>
      </c>
    </row>
    <row r="146" spans="1:7" x14ac:dyDescent="0.2">
      <c r="A146" s="40">
        <v>1238</v>
      </c>
      <c r="B146" s="39" t="s">
        <v>1243</v>
      </c>
      <c r="C146" s="40" t="s">
        <v>1264</v>
      </c>
      <c r="D146" s="75" t="s">
        <v>1271</v>
      </c>
      <c r="E146" s="75" t="s">
        <v>1266</v>
      </c>
      <c r="F146" s="75" t="s">
        <v>1267</v>
      </c>
      <c r="G146" s="75" t="s">
        <v>1268</v>
      </c>
    </row>
    <row r="147" spans="1:7" x14ac:dyDescent="0.2">
      <c r="A147" s="40">
        <v>1239</v>
      </c>
      <c r="B147" s="39" t="s">
        <v>1243</v>
      </c>
      <c r="C147" s="40" t="s">
        <v>1264</v>
      </c>
      <c r="D147" s="75" t="s">
        <v>1271</v>
      </c>
      <c r="E147" s="75" t="s">
        <v>1266</v>
      </c>
      <c r="F147" s="75" t="s">
        <v>1267</v>
      </c>
      <c r="G147" s="75" t="s">
        <v>1268</v>
      </c>
    </row>
    <row r="148" spans="1:7" x14ac:dyDescent="0.2">
      <c r="A148" s="40">
        <v>1300</v>
      </c>
      <c r="B148" s="39" t="s">
        <v>1274</v>
      </c>
      <c r="C148" s="40" t="s">
        <v>1264</v>
      </c>
      <c r="D148" s="75" t="s">
        <v>1269</v>
      </c>
      <c r="E148" s="75" t="s">
        <v>1266</v>
      </c>
      <c r="F148" s="75" t="s">
        <v>1268</v>
      </c>
      <c r="G148" s="75" t="s">
        <v>1268</v>
      </c>
    </row>
    <row r="149" spans="1:7" x14ac:dyDescent="0.2">
      <c r="A149" s="40">
        <v>1400</v>
      </c>
      <c r="B149" s="39" t="s">
        <v>1275</v>
      </c>
      <c r="C149" s="40" t="s">
        <v>1264</v>
      </c>
      <c r="D149" s="75" t="s">
        <v>1271</v>
      </c>
      <c r="E149" s="75" t="s">
        <v>1266</v>
      </c>
      <c r="F149" s="75" t="s">
        <v>1267</v>
      </c>
      <c r="G149" s="75" t="s">
        <v>1268</v>
      </c>
    </row>
    <row r="150" spans="1:7" x14ac:dyDescent="0.2">
      <c r="A150" s="40">
        <v>1402</v>
      </c>
      <c r="B150" s="39" t="s">
        <v>1243</v>
      </c>
      <c r="C150" s="40" t="s">
        <v>1264</v>
      </c>
      <c r="D150" s="75" t="s">
        <v>1271</v>
      </c>
      <c r="E150" s="75" t="s">
        <v>1266</v>
      </c>
      <c r="F150" s="75" t="s">
        <v>1267</v>
      </c>
      <c r="G150" s="75" t="s">
        <v>1268</v>
      </c>
    </row>
    <row r="151" spans="1:7" x14ac:dyDescent="0.2">
      <c r="A151" s="40">
        <v>1423</v>
      </c>
      <c r="B151" s="39" t="s">
        <v>1243</v>
      </c>
      <c r="C151" s="40" t="s">
        <v>1264</v>
      </c>
      <c r="D151" s="75" t="s">
        <v>1271</v>
      </c>
      <c r="E151" s="75" t="s">
        <v>1266</v>
      </c>
      <c r="F151" s="75" t="s">
        <v>1267</v>
      </c>
      <c r="G151" s="75" t="s">
        <v>1268</v>
      </c>
    </row>
    <row r="152" spans="1:7" x14ac:dyDescent="0.2">
      <c r="A152" s="40">
        <v>1500</v>
      </c>
      <c r="B152" s="39" t="s">
        <v>1276</v>
      </c>
      <c r="C152" s="40" t="s">
        <v>1264</v>
      </c>
      <c r="D152" s="75" t="s">
        <v>1277</v>
      </c>
      <c r="E152" s="75" t="s">
        <v>1266</v>
      </c>
      <c r="F152" s="75" t="s">
        <v>1267</v>
      </c>
      <c r="G152" s="75" t="s">
        <v>1268</v>
      </c>
    </row>
    <row r="153" spans="1:7" x14ac:dyDescent="0.2">
      <c r="A153" s="40">
        <v>1502</v>
      </c>
      <c r="B153" s="39" t="s">
        <v>1278</v>
      </c>
      <c r="C153" s="40" t="s">
        <v>1264</v>
      </c>
      <c r="D153" s="75" t="s">
        <v>1277</v>
      </c>
      <c r="E153" s="75" t="s">
        <v>1266</v>
      </c>
      <c r="F153" s="75" t="s">
        <v>1267</v>
      </c>
      <c r="G153" s="75" t="s">
        <v>1268</v>
      </c>
    </row>
    <row r="154" spans="1:7" x14ac:dyDescent="0.2">
      <c r="A154" s="40">
        <v>1503</v>
      </c>
      <c r="B154" s="39" t="s">
        <v>1279</v>
      </c>
      <c r="C154" s="40" t="s">
        <v>1264</v>
      </c>
      <c r="D154" s="75" t="s">
        <v>1277</v>
      </c>
      <c r="E154" s="75" t="s">
        <v>1266</v>
      </c>
      <c r="F154" s="75" t="s">
        <v>1267</v>
      </c>
      <c r="G154" s="75" t="s">
        <v>1268</v>
      </c>
    </row>
    <row r="155" spans="1:7" x14ac:dyDescent="0.2">
      <c r="A155" s="40">
        <v>1600</v>
      </c>
      <c r="B155" s="39" t="s">
        <v>1243</v>
      </c>
      <c r="C155" s="40" t="s">
        <v>1264</v>
      </c>
      <c r="D155" s="75" t="s">
        <v>1265</v>
      </c>
      <c r="E155" s="75" t="s">
        <v>1266</v>
      </c>
      <c r="F155" s="75" t="s">
        <v>1267</v>
      </c>
      <c r="G155" s="75" t="s">
        <v>1268</v>
      </c>
    </row>
    <row r="156" spans="1:7" x14ac:dyDescent="0.2">
      <c r="A156" s="40">
        <v>2000</v>
      </c>
      <c r="B156" s="39" t="s">
        <v>1280</v>
      </c>
      <c r="C156" s="40" t="s">
        <v>1281</v>
      </c>
      <c r="D156" s="75" t="s">
        <v>1269</v>
      </c>
      <c r="E156" s="75" t="s">
        <v>1266</v>
      </c>
      <c r="F156" s="75" t="s">
        <v>1268</v>
      </c>
      <c r="G156" s="75" t="s">
        <v>1268</v>
      </c>
    </row>
    <row r="157" spans="1:7" x14ac:dyDescent="0.2">
      <c r="A157" s="40">
        <v>2002</v>
      </c>
      <c r="B157" s="39" t="s">
        <v>1282</v>
      </c>
      <c r="C157" s="40" t="s">
        <v>1281</v>
      </c>
      <c r="D157" s="75" t="s">
        <v>1269</v>
      </c>
      <c r="E157" s="75" t="s">
        <v>1266</v>
      </c>
      <c r="F157" s="75" t="s">
        <v>1268</v>
      </c>
      <c r="G157" s="75" t="s">
        <v>1267</v>
      </c>
    </row>
    <row r="158" spans="1:7" x14ac:dyDescent="0.2">
      <c r="A158" s="40">
        <v>2003</v>
      </c>
      <c r="B158" s="39" t="s">
        <v>1283</v>
      </c>
      <c r="C158" s="40" t="s">
        <v>1281</v>
      </c>
      <c r="D158" s="75" t="s">
        <v>1269</v>
      </c>
      <c r="E158" s="75" t="s">
        <v>1266</v>
      </c>
      <c r="F158" s="75" t="s">
        <v>1268</v>
      </c>
      <c r="G158" s="75" t="s">
        <v>1267</v>
      </c>
    </row>
    <row r="159" spans="1:7" x14ac:dyDescent="0.2">
      <c r="A159" s="40">
        <v>2004</v>
      </c>
      <c r="B159" s="39" t="s">
        <v>1284</v>
      </c>
      <c r="C159" s="40" t="s">
        <v>1281</v>
      </c>
      <c r="D159" s="75" t="s">
        <v>1269</v>
      </c>
      <c r="E159" s="75" t="s">
        <v>1266</v>
      </c>
      <c r="F159" s="75" t="s">
        <v>1268</v>
      </c>
      <c r="G159" s="75" t="s">
        <v>1267</v>
      </c>
    </row>
    <row r="160" spans="1:7" x14ac:dyDescent="0.2">
      <c r="A160" s="40">
        <v>2011</v>
      </c>
      <c r="B160" s="39" t="s">
        <v>1285</v>
      </c>
      <c r="C160" s="40" t="s">
        <v>1281</v>
      </c>
      <c r="D160" s="75" t="s">
        <v>1269</v>
      </c>
      <c r="E160" s="75" t="s">
        <v>1266</v>
      </c>
      <c r="F160" s="75" t="s">
        <v>1268</v>
      </c>
      <c r="G160" s="75" t="s">
        <v>1267</v>
      </c>
    </row>
    <row r="161" spans="1:7" x14ac:dyDescent="0.2">
      <c r="A161" s="40">
        <v>2013</v>
      </c>
      <c r="B161" s="39" t="s">
        <v>1286</v>
      </c>
      <c r="C161" s="40" t="s">
        <v>1281</v>
      </c>
      <c r="D161" s="75" t="s">
        <v>1269</v>
      </c>
      <c r="E161" s="75" t="s">
        <v>1266</v>
      </c>
      <c r="F161" s="75" t="s">
        <v>1268</v>
      </c>
      <c r="G161" s="75" t="s">
        <v>1267</v>
      </c>
    </row>
    <row r="162" spans="1:7" x14ac:dyDescent="0.2">
      <c r="A162" s="40">
        <v>2014</v>
      </c>
      <c r="B162" s="39" t="s">
        <v>1287</v>
      </c>
      <c r="C162" s="40" t="s">
        <v>1281</v>
      </c>
      <c r="D162" s="75" t="s">
        <v>1269</v>
      </c>
      <c r="E162" s="75" t="s">
        <v>1266</v>
      </c>
      <c r="F162" s="75" t="s">
        <v>1268</v>
      </c>
      <c r="G162" s="75" t="s">
        <v>1267</v>
      </c>
    </row>
    <row r="163" spans="1:7" x14ac:dyDescent="0.2">
      <c r="A163" s="40">
        <v>2020</v>
      </c>
      <c r="B163" s="39" t="s">
        <v>1288</v>
      </c>
      <c r="C163" s="40" t="s">
        <v>1281</v>
      </c>
      <c r="D163" s="75" t="s">
        <v>1269</v>
      </c>
      <c r="E163" s="75" t="s">
        <v>1266</v>
      </c>
      <c r="F163" s="75" t="s">
        <v>1268</v>
      </c>
      <c r="G163" s="75" t="s">
        <v>1268</v>
      </c>
    </row>
    <row r="164" spans="1:7" x14ac:dyDescent="0.2">
      <c r="A164" s="40">
        <v>2022</v>
      </c>
      <c r="B164" s="39" t="s">
        <v>1289</v>
      </c>
      <c r="C164" s="40" t="s">
        <v>1281</v>
      </c>
      <c r="D164" s="75" t="s">
        <v>1269</v>
      </c>
      <c r="E164" s="75" t="s">
        <v>1266</v>
      </c>
      <c r="F164" s="75" t="s">
        <v>1268</v>
      </c>
      <c r="G164" s="75" t="s">
        <v>1267</v>
      </c>
    </row>
    <row r="165" spans="1:7" x14ac:dyDescent="0.2">
      <c r="A165" s="40">
        <v>2023</v>
      </c>
      <c r="B165" s="39" t="s">
        <v>1290</v>
      </c>
      <c r="C165" s="40" t="s">
        <v>1281</v>
      </c>
      <c r="D165" s="75" t="s">
        <v>1269</v>
      </c>
      <c r="E165" s="75" t="s">
        <v>1266</v>
      </c>
      <c r="F165" s="75" t="s">
        <v>1268</v>
      </c>
      <c r="G165" s="75" t="s">
        <v>1268</v>
      </c>
    </row>
    <row r="166" spans="1:7" x14ac:dyDescent="0.2">
      <c r="A166" s="40">
        <v>2024</v>
      </c>
      <c r="B166" s="39" t="s">
        <v>1291</v>
      </c>
      <c r="C166" s="40" t="s">
        <v>1281</v>
      </c>
      <c r="D166" s="75" t="s">
        <v>1269</v>
      </c>
      <c r="E166" s="75" t="s">
        <v>1266</v>
      </c>
      <c r="F166" s="75" t="s">
        <v>1268</v>
      </c>
      <c r="G166" s="75" t="s">
        <v>1267</v>
      </c>
    </row>
    <row r="167" spans="1:7" x14ac:dyDescent="0.2">
      <c r="A167" s="40">
        <v>2031</v>
      </c>
      <c r="B167" s="39" t="s">
        <v>1292</v>
      </c>
      <c r="C167" s="40" t="s">
        <v>1281</v>
      </c>
      <c r="D167" s="75" t="s">
        <v>1269</v>
      </c>
      <c r="E167" s="75" t="s">
        <v>1266</v>
      </c>
      <c r="F167" s="75" t="s">
        <v>1268</v>
      </c>
      <c r="G167" s="75" t="s">
        <v>1267</v>
      </c>
    </row>
    <row r="168" spans="1:7" x14ac:dyDescent="0.2">
      <c r="A168" s="40">
        <v>2032</v>
      </c>
      <c r="B168" s="39" t="s">
        <v>1293</v>
      </c>
      <c r="C168" s="40" t="s">
        <v>1281</v>
      </c>
      <c r="D168" s="75" t="s">
        <v>1269</v>
      </c>
      <c r="E168" s="75" t="s">
        <v>1266</v>
      </c>
      <c r="F168" s="75" t="s">
        <v>1268</v>
      </c>
      <c r="G168" s="75" t="s">
        <v>1267</v>
      </c>
    </row>
    <row r="169" spans="1:7" x14ac:dyDescent="0.2">
      <c r="A169" s="40">
        <v>2033</v>
      </c>
      <c r="B169" s="39" t="s">
        <v>1294</v>
      </c>
      <c r="C169" s="40" t="s">
        <v>1281</v>
      </c>
      <c r="D169" s="75" t="s">
        <v>1269</v>
      </c>
      <c r="E169" s="75" t="s">
        <v>1266</v>
      </c>
      <c r="F169" s="75" t="s">
        <v>1268</v>
      </c>
      <c r="G169" s="75" t="s">
        <v>1267</v>
      </c>
    </row>
    <row r="170" spans="1:7" x14ac:dyDescent="0.2">
      <c r="A170" s="40">
        <v>2034</v>
      </c>
      <c r="B170" s="39" t="s">
        <v>1295</v>
      </c>
      <c r="C170" s="40" t="s">
        <v>1281</v>
      </c>
      <c r="D170" s="75" t="s">
        <v>1269</v>
      </c>
      <c r="E170" s="75" t="s">
        <v>1266</v>
      </c>
      <c r="F170" s="75" t="s">
        <v>1268</v>
      </c>
      <c r="G170" s="75" t="s">
        <v>1268</v>
      </c>
    </row>
    <row r="171" spans="1:7" x14ac:dyDescent="0.2">
      <c r="A171" s="40">
        <v>2041</v>
      </c>
      <c r="B171" s="39" t="s">
        <v>1296</v>
      </c>
      <c r="C171" s="40" t="s">
        <v>1281</v>
      </c>
      <c r="D171" s="75" t="s">
        <v>1269</v>
      </c>
      <c r="E171" s="75" t="s">
        <v>1266</v>
      </c>
      <c r="F171" s="75" t="s">
        <v>1268</v>
      </c>
      <c r="G171" s="75" t="s">
        <v>1268</v>
      </c>
    </row>
    <row r="172" spans="1:7" x14ac:dyDescent="0.2">
      <c r="A172" s="40">
        <v>2042</v>
      </c>
      <c r="B172" s="39" t="s">
        <v>1297</v>
      </c>
      <c r="C172" s="40" t="s">
        <v>1281</v>
      </c>
      <c r="D172" s="75" t="s">
        <v>1269</v>
      </c>
      <c r="E172" s="75" t="s">
        <v>1266</v>
      </c>
      <c r="F172" s="75" t="s">
        <v>1268</v>
      </c>
      <c r="G172" s="75" t="s">
        <v>1267</v>
      </c>
    </row>
    <row r="173" spans="1:7" x14ac:dyDescent="0.2">
      <c r="A173" s="40">
        <v>2051</v>
      </c>
      <c r="B173" s="39" t="s">
        <v>1298</v>
      </c>
      <c r="C173" s="40" t="s">
        <v>1281</v>
      </c>
      <c r="D173" s="75" t="s">
        <v>1269</v>
      </c>
      <c r="E173" s="75" t="s">
        <v>1266</v>
      </c>
      <c r="F173" s="75" t="s">
        <v>1268</v>
      </c>
      <c r="G173" s="75" t="s">
        <v>1268</v>
      </c>
    </row>
    <row r="174" spans="1:7" x14ac:dyDescent="0.2">
      <c r="A174" s="40">
        <v>2052</v>
      </c>
      <c r="B174" s="39" t="s">
        <v>1299</v>
      </c>
      <c r="C174" s="40" t="s">
        <v>1281</v>
      </c>
      <c r="D174" s="75" t="s">
        <v>1269</v>
      </c>
      <c r="E174" s="75" t="s">
        <v>1266</v>
      </c>
      <c r="F174" s="75" t="s">
        <v>1268</v>
      </c>
      <c r="G174" s="75" t="s">
        <v>1267</v>
      </c>
    </row>
    <row r="175" spans="1:7" x14ac:dyDescent="0.2">
      <c r="A175" s="40">
        <v>2053</v>
      </c>
      <c r="B175" s="39" t="s">
        <v>1300</v>
      </c>
      <c r="C175" s="40" t="s">
        <v>1281</v>
      </c>
      <c r="D175" s="75" t="s">
        <v>1269</v>
      </c>
      <c r="E175" s="75" t="s">
        <v>1266</v>
      </c>
      <c r="F175" s="75" t="s">
        <v>1268</v>
      </c>
      <c r="G175" s="75" t="s">
        <v>1267</v>
      </c>
    </row>
    <row r="176" spans="1:7" x14ac:dyDescent="0.2">
      <c r="A176" s="40">
        <v>2054</v>
      </c>
      <c r="B176" s="39" t="s">
        <v>1301</v>
      </c>
      <c r="C176" s="40" t="s">
        <v>1281</v>
      </c>
      <c r="D176" s="75" t="s">
        <v>1269</v>
      </c>
      <c r="E176" s="75" t="s">
        <v>1266</v>
      </c>
      <c r="F176" s="75" t="s">
        <v>1268</v>
      </c>
      <c r="G176" s="75" t="s">
        <v>1268</v>
      </c>
    </row>
    <row r="177" spans="1:7" x14ac:dyDescent="0.2">
      <c r="A177" s="40">
        <v>2061</v>
      </c>
      <c r="B177" s="39" t="s">
        <v>1302</v>
      </c>
      <c r="C177" s="40" t="s">
        <v>1281</v>
      </c>
      <c r="D177" s="75" t="s">
        <v>1269</v>
      </c>
      <c r="E177" s="75" t="s">
        <v>1266</v>
      </c>
      <c r="F177" s="75" t="s">
        <v>1268</v>
      </c>
      <c r="G177" s="75" t="s">
        <v>1268</v>
      </c>
    </row>
    <row r="178" spans="1:7" x14ac:dyDescent="0.2">
      <c r="A178" s="40">
        <v>2062</v>
      </c>
      <c r="B178" s="39" t="s">
        <v>1303</v>
      </c>
      <c r="C178" s="40" t="s">
        <v>1281</v>
      </c>
      <c r="D178" s="75" t="s">
        <v>1269</v>
      </c>
      <c r="E178" s="75" t="s">
        <v>1266</v>
      </c>
      <c r="F178" s="75" t="s">
        <v>1268</v>
      </c>
      <c r="G178" s="75" t="s">
        <v>1267</v>
      </c>
    </row>
    <row r="179" spans="1:7" x14ac:dyDescent="0.2">
      <c r="A179" s="40">
        <v>2063</v>
      </c>
      <c r="B179" s="39" t="s">
        <v>1304</v>
      </c>
      <c r="C179" s="40" t="s">
        <v>1281</v>
      </c>
      <c r="D179" s="75" t="s">
        <v>1269</v>
      </c>
      <c r="E179" s="75" t="s">
        <v>1266</v>
      </c>
      <c r="F179" s="75" t="s">
        <v>1268</v>
      </c>
      <c r="G179" s="75" t="s">
        <v>1267</v>
      </c>
    </row>
    <row r="180" spans="1:7" x14ac:dyDescent="0.2">
      <c r="A180" s="40">
        <v>2064</v>
      </c>
      <c r="B180" s="39" t="s">
        <v>1305</v>
      </c>
      <c r="C180" s="40" t="s">
        <v>1281</v>
      </c>
      <c r="D180" s="75" t="s">
        <v>1269</v>
      </c>
      <c r="E180" s="75" t="s">
        <v>1266</v>
      </c>
      <c r="F180" s="75" t="s">
        <v>1268</v>
      </c>
      <c r="G180" s="75" t="s">
        <v>1267</v>
      </c>
    </row>
    <row r="181" spans="1:7" x14ac:dyDescent="0.2">
      <c r="A181" s="40">
        <v>2070</v>
      </c>
      <c r="B181" s="39" t="s">
        <v>1306</v>
      </c>
      <c r="C181" s="40" t="s">
        <v>1281</v>
      </c>
      <c r="D181" s="75" t="s">
        <v>1269</v>
      </c>
      <c r="E181" s="75" t="s">
        <v>1266</v>
      </c>
      <c r="F181" s="75" t="s">
        <v>1268</v>
      </c>
      <c r="G181" s="75" t="s">
        <v>1268</v>
      </c>
    </row>
    <row r="182" spans="1:7" x14ac:dyDescent="0.2">
      <c r="A182" s="40">
        <v>2073</v>
      </c>
      <c r="B182" s="39" t="s">
        <v>1307</v>
      </c>
      <c r="C182" s="40" t="s">
        <v>1281</v>
      </c>
      <c r="D182" s="75" t="s">
        <v>1269</v>
      </c>
      <c r="E182" s="75" t="s">
        <v>1266</v>
      </c>
      <c r="F182" s="75" t="s">
        <v>1268</v>
      </c>
      <c r="G182" s="75" t="s">
        <v>1267</v>
      </c>
    </row>
    <row r="183" spans="1:7" x14ac:dyDescent="0.2">
      <c r="A183" s="40">
        <v>2074</v>
      </c>
      <c r="B183" s="39" t="s">
        <v>1308</v>
      </c>
      <c r="C183" s="40" t="s">
        <v>1281</v>
      </c>
      <c r="D183" s="75" t="s">
        <v>1269</v>
      </c>
      <c r="E183" s="75" t="s">
        <v>1266</v>
      </c>
      <c r="F183" s="75" t="s">
        <v>1268</v>
      </c>
      <c r="G183" s="75" t="s">
        <v>1267</v>
      </c>
    </row>
    <row r="184" spans="1:7" x14ac:dyDescent="0.2">
      <c r="A184" s="40">
        <v>2081</v>
      </c>
      <c r="B184" s="39" t="s">
        <v>1309</v>
      </c>
      <c r="C184" s="40" t="s">
        <v>1281</v>
      </c>
      <c r="D184" s="75" t="s">
        <v>1269</v>
      </c>
      <c r="E184" s="75" t="s">
        <v>1266</v>
      </c>
      <c r="F184" s="75" t="s">
        <v>1268</v>
      </c>
      <c r="G184" s="75" t="s">
        <v>1267</v>
      </c>
    </row>
    <row r="185" spans="1:7" x14ac:dyDescent="0.2">
      <c r="A185" s="40">
        <v>2082</v>
      </c>
      <c r="B185" s="39" t="s">
        <v>1310</v>
      </c>
      <c r="C185" s="40" t="s">
        <v>1281</v>
      </c>
      <c r="D185" s="75" t="s">
        <v>1269</v>
      </c>
      <c r="E185" s="75" t="s">
        <v>1266</v>
      </c>
      <c r="F185" s="75" t="s">
        <v>1268</v>
      </c>
      <c r="G185" s="75" t="s">
        <v>1267</v>
      </c>
    </row>
    <row r="186" spans="1:7" x14ac:dyDescent="0.2">
      <c r="A186" s="40">
        <v>2083</v>
      </c>
      <c r="B186" s="39" t="s">
        <v>1311</v>
      </c>
      <c r="C186" s="40" t="s">
        <v>1281</v>
      </c>
      <c r="D186" s="75" t="s">
        <v>1269</v>
      </c>
      <c r="E186" s="75" t="s">
        <v>1266</v>
      </c>
      <c r="F186" s="75" t="s">
        <v>1268</v>
      </c>
      <c r="G186" s="75" t="s">
        <v>1267</v>
      </c>
    </row>
    <row r="187" spans="1:7" x14ac:dyDescent="0.2">
      <c r="A187" s="40">
        <v>2084</v>
      </c>
      <c r="B187" s="39" t="s">
        <v>1312</v>
      </c>
      <c r="C187" s="40" t="s">
        <v>1281</v>
      </c>
      <c r="D187" s="75" t="s">
        <v>1269</v>
      </c>
      <c r="E187" s="75" t="s">
        <v>1266</v>
      </c>
      <c r="F187" s="75" t="s">
        <v>1268</v>
      </c>
      <c r="G187" s="75" t="s">
        <v>1268</v>
      </c>
    </row>
    <row r="188" spans="1:7" x14ac:dyDescent="0.2">
      <c r="A188" s="40">
        <v>2091</v>
      </c>
      <c r="B188" s="39" t="s">
        <v>1313</v>
      </c>
      <c r="C188" s="40" t="s">
        <v>1281</v>
      </c>
      <c r="D188" s="75" t="s">
        <v>1269</v>
      </c>
      <c r="E188" s="75" t="s">
        <v>1266</v>
      </c>
      <c r="F188" s="75" t="s">
        <v>1268</v>
      </c>
      <c r="G188" s="75" t="s">
        <v>1267</v>
      </c>
    </row>
    <row r="189" spans="1:7" x14ac:dyDescent="0.2">
      <c r="A189" s="40">
        <v>2092</v>
      </c>
      <c r="B189" s="39" t="s">
        <v>1314</v>
      </c>
      <c r="C189" s="40" t="s">
        <v>1281</v>
      </c>
      <c r="D189" s="75" t="s">
        <v>1269</v>
      </c>
      <c r="E189" s="75" t="s">
        <v>1266</v>
      </c>
      <c r="F189" s="75" t="s">
        <v>1268</v>
      </c>
      <c r="G189" s="75" t="s">
        <v>1267</v>
      </c>
    </row>
    <row r="190" spans="1:7" x14ac:dyDescent="0.2">
      <c r="A190" s="40">
        <v>2093</v>
      </c>
      <c r="B190" s="39" t="s">
        <v>1315</v>
      </c>
      <c r="C190" s="40" t="s">
        <v>1281</v>
      </c>
      <c r="D190" s="75" t="s">
        <v>1269</v>
      </c>
      <c r="E190" s="75" t="s">
        <v>1266</v>
      </c>
      <c r="F190" s="75" t="s">
        <v>1268</v>
      </c>
      <c r="G190" s="75" t="s">
        <v>1268</v>
      </c>
    </row>
    <row r="191" spans="1:7" x14ac:dyDescent="0.2">
      <c r="A191" s="40">
        <v>2094</v>
      </c>
      <c r="B191" s="39" t="s">
        <v>1316</v>
      </c>
      <c r="C191" s="40" t="s">
        <v>1281</v>
      </c>
      <c r="D191" s="75" t="s">
        <v>1269</v>
      </c>
      <c r="E191" s="75" t="s">
        <v>1266</v>
      </c>
      <c r="F191" s="75" t="s">
        <v>1268</v>
      </c>
      <c r="G191" s="75" t="s">
        <v>1267</v>
      </c>
    </row>
    <row r="192" spans="1:7" x14ac:dyDescent="0.2">
      <c r="A192" s="40">
        <v>2095</v>
      </c>
      <c r="B192" s="39" t="s">
        <v>1317</v>
      </c>
      <c r="C192" s="40" t="s">
        <v>1281</v>
      </c>
      <c r="D192" s="75" t="s">
        <v>1269</v>
      </c>
      <c r="E192" s="75" t="s">
        <v>1266</v>
      </c>
      <c r="F192" s="75" t="s">
        <v>1268</v>
      </c>
      <c r="G192" s="75" t="s">
        <v>1267</v>
      </c>
    </row>
    <row r="193" spans="1:7" x14ac:dyDescent="0.2">
      <c r="A193" s="40">
        <v>2100</v>
      </c>
      <c r="B193" s="39" t="s">
        <v>1318</v>
      </c>
      <c r="C193" s="40" t="s">
        <v>1281</v>
      </c>
      <c r="D193" s="75" t="s">
        <v>1269</v>
      </c>
      <c r="E193" s="75" t="s">
        <v>1266</v>
      </c>
      <c r="F193" s="75" t="s">
        <v>1268</v>
      </c>
      <c r="G193" s="75" t="s">
        <v>1268</v>
      </c>
    </row>
    <row r="194" spans="1:7" x14ac:dyDescent="0.2">
      <c r="A194" s="40">
        <v>2102</v>
      </c>
      <c r="B194" s="39" t="s">
        <v>1319</v>
      </c>
      <c r="C194" s="40" t="s">
        <v>1281</v>
      </c>
      <c r="D194" s="75" t="s">
        <v>1269</v>
      </c>
      <c r="E194" s="75" t="s">
        <v>1266</v>
      </c>
      <c r="F194" s="75" t="s">
        <v>1268</v>
      </c>
      <c r="G194" s="75" t="s">
        <v>1268</v>
      </c>
    </row>
    <row r="195" spans="1:7" x14ac:dyDescent="0.2">
      <c r="A195" s="40">
        <v>2103</v>
      </c>
      <c r="B195" s="39" t="s">
        <v>1320</v>
      </c>
      <c r="C195" s="40" t="s">
        <v>1281</v>
      </c>
      <c r="D195" s="75" t="s">
        <v>1269</v>
      </c>
      <c r="E195" s="75" t="s">
        <v>1266</v>
      </c>
      <c r="F195" s="75" t="s">
        <v>1268</v>
      </c>
      <c r="G195" s="75" t="s">
        <v>1268</v>
      </c>
    </row>
    <row r="196" spans="1:7" x14ac:dyDescent="0.2">
      <c r="A196" s="40">
        <v>2104</v>
      </c>
      <c r="B196" s="39" t="s">
        <v>1321</v>
      </c>
      <c r="C196" s="40" t="s">
        <v>1281</v>
      </c>
      <c r="D196" s="75" t="s">
        <v>1269</v>
      </c>
      <c r="E196" s="75" t="s">
        <v>1266</v>
      </c>
      <c r="F196" s="75" t="s">
        <v>1268</v>
      </c>
      <c r="G196" s="75" t="s">
        <v>1268</v>
      </c>
    </row>
    <row r="197" spans="1:7" x14ac:dyDescent="0.2">
      <c r="A197" s="40">
        <v>2105</v>
      </c>
      <c r="B197" s="39" t="s">
        <v>1322</v>
      </c>
      <c r="C197" s="40" t="s">
        <v>1281</v>
      </c>
      <c r="D197" s="75" t="s">
        <v>1269</v>
      </c>
      <c r="E197" s="75" t="s">
        <v>1266</v>
      </c>
      <c r="F197" s="75" t="s">
        <v>1268</v>
      </c>
      <c r="G197" s="75" t="s">
        <v>1267</v>
      </c>
    </row>
    <row r="198" spans="1:7" x14ac:dyDescent="0.2">
      <c r="A198" s="40">
        <v>2111</v>
      </c>
      <c r="B198" s="39" t="s">
        <v>1323</v>
      </c>
      <c r="C198" s="40" t="s">
        <v>1281</v>
      </c>
      <c r="D198" s="75" t="s">
        <v>1269</v>
      </c>
      <c r="E198" s="75" t="s">
        <v>1266</v>
      </c>
      <c r="F198" s="75" t="s">
        <v>1268</v>
      </c>
      <c r="G198" s="75" t="s">
        <v>1267</v>
      </c>
    </row>
    <row r="199" spans="1:7" x14ac:dyDescent="0.2">
      <c r="A199" s="40">
        <v>2112</v>
      </c>
      <c r="B199" s="39" t="s">
        <v>1324</v>
      </c>
      <c r="C199" s="40" t="s">
        <v>1281</v>
      </c>
      <c r="D199" s="75" t="s">
        <v>1269</v>
      </c>
      <c r="E199" s="75" t="s">
        <v>1266</v>
      </c>
      <c r="F199" s="75" t="s">
        <v>1268</v>
      </c>
      <c r="G199" s="75" t="s">
        <v>1267</v>
      </c>
    </row>
    <row r="200" spans="1:7" x14ac:dyDescent="0.2">
      <c r="A200" s="40">
        <v>2113</v>
      </c>
      <c r="B200" s="39" t="s">
        <v>1325</v>
      </c>
      <c r="C200" s="40" t="s">
        <v>1281</v>
      </c>
      <c r="D200" s="75" t="s">
        <v>1269</v>
      </c>
      <c r="E200" s="75" t="s">
        <v>1266</v>
      </c>
      <c r="F200" s="75" t="s">
        <v>1268</v>
      </c>
      <c r="G200" s="75" t="s">
        <v>1267</v>
      </c>
    </row>
    <row r="201" spans="1:7" x14ac:dyDescent="0.2">
      <c r="A201" s="40">
        <v>2114</v>
      </c>
      <c r="B201" s="39" t="s">
        <v>1326</v>
      </c>
      <c r="C201" s="40" t="s">
        <v>1281</v>
      </c>
      <c r="D201" s="75" t="s">
        <v>1269</v>
      </c>
      <c r="E201" s="75" t="s">
        <v>1266</v>
      </c>
      <c r="F201" s="75" t="s">
        <v>1268</v>
      </c>
      <c r="G201" s="75" t="s">
        <v>1267</v>
      </c>
    </row>
    <row r="202" spans="1:7" x14ac:dyDescent="0.2">
      <c r="A202" s="40">
        <v>2115</v>
      </c>
      <c r="B202" s="39" t="s">
        <v>1327</v>
      </c>
      <c r="C202" s="40" t="s">
        <v>1281</v>
      </c>
      <c r="D202" s="75" t="s">
        <v>1269</v>
      </c>
      <c r="E202" s="75" t="s">
        <v>1266</v>
      </c>
      <c r="F202" s="75" t="s">
        <v>1268</v>
      </c>
      <c r="G202" s="75" t="s">
        <v>1268</v>
      </c>
    </row>
    <row r="203" spans="1:7" x14ac:dyDescent="0.2">
      <c r="A203" s="40">
        <v>2116</v>
      </c>
      <c r="B203" s="39" t="s">
        <v>1328</v>
      </c>
      <c r="C203" s="40" t="s">
        <v>1281</v>
      </c>
      <c r="D203" s="75" t="s">
        <v>1269</v>
      </c>
      <c r="E203" s="75" t="s">
        <v>1266</v>
      </c>
      <c r="F203" s="75" t="s">
        <v>1268</v>
      </c>
      <c r="G203" s="75" t="s">
        <v>1267</v>
      </c>
    </row>
    <row r="204" spans="1:7" x14ac:dyDescent="0.2">
      <c r="A204" s="40">
        <v>2120</v>
      </c>
      <c r="B204" s="39" t="s">
        <v>1329</v>
      </c>
      <c r="C204" s="40" t="s">
        <v>1281</v>
      </c>
      <c r="D204" s="75" t="s">
        <v>1269</v>
      </c>
      <c r="E204" s="75" t="s">
        <v>1266</v>
      </c>
      <c r="F204" s="75" t="s">
        <v>1268</v>
      </c>
      <c r="G204" s="75" t="s">
        <v>1268</v>
      </c>
    </row>
    <row r="205" spans="1:7" x14ac:dyDescent="0.2">
      <c r="A205" s="40">
        <v>2122</v>
      </c>
      <c r="B205" s="39" t="s">
        <v>1330</v>
      </c>
      <c r="C205" s="40" t="s">
        <v>1281</v>
      </c>
      <c r="D205" s="75" t="s">
        <v>1269</v>
      </c>
      <c r="E205" s="75" t="s">
        <v>1266</v>
      </c>
      <c r="F205" s="75" t="s">
        <v>1268</v>
      </c>
      <c r="G205" s="75" t="s">
        <v>1268</v>
      </c>
    </row>
    <row r="206" spans="1:7" x14ac:dyDescent="0.2">
      <c r="A206" s="40">
        <v>2123</v>
      </c>
      <c r="B206" s="39" t="s">
        <v>1331</v>
      </c>
      <c r="C206" s="40" t="s">
        <v>1281</v>
      </c>
      <c r="D206" s="75" t="s">
        <v>1269</v>
      </c>
      <c r="E206" s="75" t="s">
        <v>1266</v>
      </c>
      <c r="F206" s="75" t="s">
        <v>1268</v>
      </c>
      <c r="G206" s="75" t="s">
        <v>1267</v>
      </c>
    </row>
    <row r="207" spans="1:7" x14ac:dyDescent="0.2">
      <c r="A207" s="40">
        <v>2124</v>
      </c>
      <c r="B207" s="39" t="s">
        <v>1332</v>
      </c>
      <c r="C207" s="40" t="s">
        <v>1281</v>
      </c>
      <c r="D207" s="75" t="s">
        <v>1269</v>
      </c>
      <c r="E207" s="75" t="s">
        <v>1266</v>
      </c>
      <c r="F207" s="75" t="s">
        <v>1268</v>
      </c>
      <c r="G207" s="75" t="s">
        <v>1268</v>
      </c>
    </row>
    <row r="208" spans="1:7" x14ac:dyDescent="0.2">
      <c r="A208" s="40">
        <v>2125</v>
      </c>
      <c r="B208" s="39" t="s">
        <v>1333</v>
      </c>
      <c r="C208" s="40" t="s">
        <v>1281</v>
      </c>
      <c r="D208" s="75" t="s">
        <v>1269</v>
      </c>
      <c r="E208" s="75" t="s">
        <v>1266</v>
      </c>
      <c r="F208" s="75" t="s">
        <v>1268</v>
      </c>
      <c r="G208" s="75" t="s">
        <v>1267</v>
      </c>
    </row>
    <row r="209" spans="1:7" x14ac:dyDescent="0.2">
      <c r="A209" s="40">
        <v>2126</v>
      </c>
      <c r="B209" s="39" t="s">
        <v>1334</v>
      </c>
      <c r="C209" s="40" t="s">
        <v>1281</v>
      </c>
      <c r="D209" s="75" t="s">
        <v>1269</v>
      </c>
      <c r="E209" s="75" t="s">
        <v>1266</v>
      </c>
      <c r="F209" s="75" t="s">
        <v>1268</v>
      </c>
      <c r="G209" s="75" t="s">
        <v>1267</v>
      </c>
    </row>
    <row r="210" spans="1:7" x14ac:dyDescent="0.2">
      <c r="A210" s="40">
        <v>2130</v>
      </c>
      <c r="B210" s="39" t="s">
        <v>1335</v>
      </c>
      <c r="C210" s="40" t="s">
        <v>1281</v>
      </c>
      <c r="D210" s="75" t="s">
        <v>1269</v>
      </c>
      <c r="E210" s="75" t="s">
        <v>1266</v>
      </c>
      <c r="F210" s="75" t="s">
        <v>1268</v>
      </c>
      <c r="G210" s="75" t="s">
        <v>1268</v>
      </c>
    </row>
    <row r="211" spans="1:7" x14ac:dyDescent="0.2">
      <c r="A211" s="40">
        <v>2132</v>
      </c>
      <c r="B211" s="39" t="s">
        <v>1336</v>
      </c>
      <c r="C211" s="40" t="s">
        <v>1281</v>
      </c>
      <c r="D211" s="75" t="s">
        <v>1269</v>
      </c>
      <c r="E211" s="75" t="s">
        <v>1266</v>
      </c>
      <c r="F211" s="75" t="s">
        <v>1268</v>
      </c>
      <c r="G211" s="75" t="s">
        <v>1267</v>
      </c>
    </row>
    <row r="212" spans="1:7" x14ac:dyDescent="0.2">
      <c r="A212" s="40">
        <v>2133</v>
      </c>
      <c r="B212" s="39" t="s">
        <v>1337</v>
      </c>
      <c r="C212" s="40" t="s">
        <v>1281</v>
      </c>
      <c r="D212" s="75" t="s">
        <v>1269</v>
      </c>
      <c r="E212" s="75" t="s">
        <v>1266</v>
      </c>
      <c r="F212" s="75" t="s">
        <v>1268</v>
      </c>
      <c r="G212" s="75" t="s">
        <v>1267</v>
      </c>
    </row>
    <row r="213" spans="1:7" x14ac:dyDescent="0.2">
      <c r="A213" s="40">
        <v>2134</v>
      </c>
      <c r="B213" s="39" t="s">
        <v>1338</v>
      </c>
      <c r="C213" s="40" t="s">
        <v>1281</v>
      </c>
      <c r="D213" s="75" t="s">
        <v>1269</v>
      </c>
      <c r="E213" s="75" t="s">
        <v>1266</v>
      </c>
      <c r="F213" s="75" t="s">
        <v>1268</v>
      </c>
      <c r="G213" s="75" t="s">
        <v>1267</v>
      </c>
    </row>
    <row r="214" spans="1:7" x14ac:dyDescent="0.2">
      <c r="A214" s="40">
        <v>2135</v>
      </c>
      <c r="B214" s="39" t="s">
        <v>1339</v>
      </c>
      <c r="C214" s="40" t="s">
        <v>1281</v>
      </c>
      <c r="D214" s="75" t="s">
        <v>1269</v>
      </c>
      <c r="E214" s="75" t="s">
        <v>1266</v>
      </c>
      <c r="F214" s="75" t="s">
        <v>1268</v>
      </c>
      <c r="G214" s="75" t="s">
        <v>1267</v>
      </c>
    </row>
    <row r="215" spans="1:7" x14ac:dyDescent="0.2">
      <c r="A215" s="40">
        <v>2136</v>
      </c>
      <c r="B215" s="39" t="s">
        <v>1340</v>
      </c>
      <c r="C215" s="40" t="s">
        <v>1281</v>
      </c>
      <c r="D215" s="75" t="s">
        <v>1269</v>
      </c>
      <c r="E215" s="75" t="s">
        <v>1266</v>
      </c>
      <c r="F215" s="75" t="s">
        <v>1268</v>
      </c>
      <c r="G215" s="75" t="s">
        <v>1268</v>
      </c>
    </row>
    <row r="216" spans="1:7" x14ac:dyDescent="0.2">
      <c r="A216" s="40">
        <v>2141</v>
      </c>
      <c r="B216" s="39" t="s">
        <v>1341</v>
      </c>
      <c r="C216" s="40" t="s">
        <v>1281</v>
      </c>
      <c r="D216" s="75" t="s">
        <v>1269</v>
      </c>
      <c r="E216" s="75" t="s">
        <v>1266</v>
      </c>
      <c r="F216" s="75" t="s">
        <v>1268</v>
      </c>
      <c r="G216" s="75" t="s">
        <v>1268</v>
      </c>
    </row>
    <row r="217" spans="1:7" x14ac:dyDescent="0.2">
      <c r="A217" s="40">
        <v>2143</v>
      </c>
      <c r="B217" s="39" t="s">
        <v>1342</v>
      </c>
      <c r="C217" s="40" t="s">
        <v>1281</v>
      </c>
      <c r="D217" s="75" t="s">
        <v>1269</v>
      </c>
      <c r="E217" s="75" t="s">
        <v>1266</v>
      </c>
      <c r="F217" s="75" t="s">
        <v>1268</v>
      </c>
      <c r="G217" s="75" t="s">
        <v>1267</v>
      </c>
    </row>
    <row r="218" spans="1:7" x14ac:dyDescent="0.2">
      <c r="A218" s="40">
        <v>2144</v>
      </c>
      <c r="B218" s="39" t="s">
        <v>1343</v>
      </c>
      <c r="C218" s="40" t="s">
        <v>1281</v>
      </c>
      <c r="D218" s="75" t="s">
        <v>1269</v>
      </c>
      <c r="E218" s="75" t="s">
        <v>1266</v>
      </c>
      <c r="F218" s="75" t="s">
        <v>1268</v>
      </c>
      <c r="G218" s="75" t="s">
        <v>1267</v>
      </c>
    </row>
    <row r="219" spans="1:7" x14ac:dyDescent="0.2">
      <c r="A219" s="40">
        <v>2145</v>
      </c>
      <c r="B219" s="39" t="s">
        <v>1344</v>
      </c>
      <c r="C219" s="40" t="s">
        <v>1281</v>
      </c>
      <c r="D219" s="75" t="s">
        <v>1269</v>
      </c>
      <c r="E219" s="75" t="s">
        <v>1266</v>
      </c>
      <c r="F219" s="75" t="s">
        <v>1268</v>
      </c>
      <c r="G219" s="75" t="s">
        <v>1268</v>
      </c>
    </row>
    <row r="220" spans="1:7" x14ac:dyDescent="0.2">
      <c r="A220" s="40">
        <v>2151</v>
      </c>
      <c r="B220" s="39" t="s">
        <v>1345</v>
      </c>
      <c r="C220" s="40" t="s">
        <v>1281</v>
      </c>
      <c r="D220" s="75" t="s">
        <v>1269</v>
      </c>
      <c r="E220" s="75" t="s">
        <v>1266</v>
      </c>
      <c r="F220" s="75" t="s">
        <v>1268</v>
      </c>
      <c r="G220" s="75" t="s">
        <v>1267</v>
      </c>
    </row>
    <row r="221" spans="1:7" x14ac:dyDescent="0.2">
      <c r="A221" s="40">
        <v>2152</v>
      </c>
      <c r="B221" s="39" t="s">
        <v>1346</v>
      </c>
      <c r="C221" s="40" t="s">
        <v>1281</v>
      </c>
      <c r="D221" s="75" t="s">
        <v>1269</v>
      </c>
      <c r="E221" s="75" t="s">
        <v>1266</v>
      </c>
      <c r="F221" s="75" t="s">
        <v>1268</v>
      </c>
      <c r="G221" s="75" t="s">
        <v>1268</v>
      </c>
    </row>
    <row r="222" spans="1:7" x14ac:dyDescent="0.2">
      <c r="A222" s="40">
        <v>2153</v>
      </c>
      <c r="B222" s="39" t="s">
        <v>1347</v>
      </c>
      <c r="C222" s="40" t="s">
        <v>1281</v>
      </c>
      <c r="D222" s="75" t="s">
        <v>1269</v>
      </c>
      <c r="E222" s="75" t="s">
        <v>1266</v>
      </c>
      <c r="F222" s="75" t="s">
        <v>1268</v>
      </c>
      <c r="G222" s="75" t="s">
        <v>1267</v>
      </c>
    </row>
    <row r="223" spans="1:7" x14ac:dyDescent="0.2">
      <c r="A223" s="40">
        <v>2154</v>
      </c>
      <c r="B223" s="39" t="s">
        <v>1348</v>
      </c>
      <c r="C223" s="40" t="s">
        <v>1281</v>
      </c>
      <c r="D223" s="75" t="s">
        <v>1269</v>
      </c>
      <c r="E223" s="75" t="s">
        <v>1266</v>
      </c>
      <c r="F223" s="75" t="s">
        <v>1268</v>
      </c>
      <c r="G223" s="75" t="s">
        <v>1267</v>
      </c>
    </row>
    <row r="224" spans="1:7" x14ac:dyDescent="0.2">
      <c r="A224" s="40">
        <v>2161</v>
      </c>
      <c r="B224" s="39" t="s">
        <v>1349</v>
      </c>
      <c r="C224" s="40" t="s">
        <v>1281</v>
      </c>
      <c r="D224" s="75" t="s">
        <v>1269</v>
      </c>
      <c r="E224" s="75" t="s">
        <v>1266</v>
      </c>
      <c r="F224" s="75" t="s">
        <v>1268</v>
      </c>
      <c r="G224" s="75" t="s">
        <v>1268</v>
      </c>
    </row>
    <row r="225" spans="1:7" x14ac:dyDescent="0.2">
      <c r="A225" s="40">
        <v>2162</v>
      </c>
      <c r="B225" s="39" t="s">
        <v>1350</v>
      </c>
      <c r="C225" s="40" t="s">
        <v>1281</v>
      </c>
      <c r="D225" s="75" t="s">
        <v>1269</v>
      </c>
      <c r="E225" s="75" t="s">
        <v>1266</v>
      </c>
      <c r="F225" s="75" t="s">
        <v>1268</v>
      </c>
      <c r="G225" s="75" t="s">
        <v>1267</v>
      </c>
    </row>
    <row r="226" spans="1:7" x14ac:dyDescent="0.2">
      <c r="A226" s="40">
        <v>2163</v>
      </c>
      <c r="B226" s="39" t="s">
        <v>1351</v>
      </c>
      <c r="C226" s="40" t="s">
        <v>1281</v>
      </c>
      <c r="D226" s="75" t="s">
        <v>1269</v>
      </c>
      <c r="E226" s="75" t="s">
        <v>1266</v>
      </c>
      <c r="F226" s="75" t="s">
        <v>1268</v>
      </c>
      <c r="G226" s="75" t="s">
        <v>1268</v>
      </c>
    </row>
    <row r="227" spans="1:7" x14ac:dyDescent="0.2">
      <c r="A227" s="40">
        <v>2164</v>
      </c>
      <c r="B227" s="39" t="s">
        <v>1352</v>
      </c>
      <c r="C227" s="40" t="s">
        <v>1281</v>
      </c>
      <c r="D227" s="75" t="s">
        <v>1269</v>
      </c>
      <c r="E227" s="75" t="s">
        <v>1266</v>
      </c>
      <c r="F227" s="75" t="s">
        <v>1268</v>
      </c>
      <c r="G227" s="75" t="s">
        <v>1267</v>
      </c>
    </row>
    <row r="228" spans="1:7" x14ac:dyDescent="0.2">
      <c r="A228" s="40">
        <v>2165</v>
      </c>
      <c r="B228" s="39" t="s">
        <v>1353</v>
      </c>
      <c r="C228" s="40" t="s">
        <v>1281</v>
      </c>
      <c r="D228" s="75" t="s">
        <v>1269</v>
      </c>
      <c r="E228" s="75" t="s">
        <v>1266</v>
      </c>
      <c r="F228" s="75" t="s">
        <v>1268</v>
      </c>
      <c r="G228" s="75" t="s">
        <v>1267</v>
      </c>
    </row>
    <row r="229" spans="1:7" x14ac:dyDescent="0.2">
      <c r="A229" s="40">
        <v>2170</v>
      </c>
      <c r="B229" s="39" t="s">
        <v>1354</v>
      </c>
      <c r="C229" s="40" t="s">
        <v>1281</v>
      </c>
      <c r="D229" s="75" t="s">
        <v>1269</v>
      </c>
      <c r="E229" s="75" t="s">
        <v>1266</v>
      </c>
      <c r="F229" s="75" t="s">
        <v>1268</v>
      </c>
      <c r="G229" s="75" t="s">
        <v>1268</v>
      </c>
    </row>
    <row r="230" spans="1:7" x14ac:dyDescent="0.2">
      <c r="A230" s="40">
        <v>2171</v>
      </c>
      <c r="B230" s="39" t="s">
        <v>1355</v>
      </c>
      <c r="C230" s="40" t="s">
        <v>1281</v>
      </c>
      <c r="D230" s="75" t="s">
        <v>1269</v>
      </c>
      <c r="E230" s="75" t="s">
        <v>1266</v>
      </c>
      <c r="F230" s="75" t="s">
        <v>1268</v>
      </c>
      <c r="G230" s="75" t="s">
        <v>1267</v>
      </c>
    </row>
    <row r="231" spans="1:7" x14ac:dyDescent="0.2">
      <c r="A231" s="40">
        <v>2172</v>
      </c>
      <c r="B231" s="39" t="s">
        <v>1356</v>
      </c>
      <c r="C231" s="40" t="s">
        <v>1281</v>
      </c>
      <c r="D231" s="75" t="s">
        <v>1269</v>
      </c>
      <c r="E231" s="75" t="s">
        <v>1266</v>
      </c>
      <c r="F231" s="75" t="s">
        <v>1268</v>
      </c>
      <c r="G231" s="75" t="s">
        <v>1268</v>
      </c>
    </row>
    <row r="232" spans="1:7" x14ac:dyDescent="0.2">
      <c r="A232" s="40">
        <v>2181</v>
      </c>
      <c r="B232" s="39" t="s">
        <v>1357</v>
      </c>
      <c r="C232" s="40" t="s">
        <v>1281</v>
      </c>
      <c r="D232" s="75" t="s">
        <v>1269</v>
      </c>
      <c r="E232" s="75" t="s">
        <v>1266</v>
      </c>
      <c r="F232" s="75" t="s">
        <v>1268</v>
      </c>
      <c r="G232" s="75" t="s">
        <v>1267</v>
      </c>
    </row>
    <row r="233" spans="1:7" x14ac:dyDescent="0.2">
      <c r="A233" s="40">
        <v>2182</v>
      </c>
      <c r="B233" s="39" t="s">
        <v>1358</v>
      </c>
      <c r="C233" s="40" t="s">
        <v>1281</v>
      </c>
      <c r="D233" s="75" t="s">
        <v>1269</v>
      </c>
      <c r="E233" s="75" t="s">
        <v>1266</v>
      </c>
      <c r="F233" s="75" t="s">
        <v>1268</v>
      </c>
      <c r="G233" s="75" t="s">
        <v>1267</v>
      </c>
    </row>
    <row r="234" spans="1:7" x14ac:dyDescent="0.2">
      <c r="A234" s="40">
        <v>2183</v>
      </c>
      <c r="B234" s="39" t="s">
        <v>1359</v>
      </c>
      <c r="C234" s="40" t="s">
        <v>1281</v>
      </c>
      <c r="D234" s="75" t="s">
        <v>1269</v>
      </c>
      <c r="E234" s="75" t="s">
        <v>1266</v>
      </c>
      <c r="F234" s="75" t="s">
        <v>1268</v>
      </c>
      <c r="G234" s="75" t="s">
        <v>1267</v>
      </c>
    </row>
    <row r="235" spans="1:7" x14ac:dyDescent="0.2">
      <c r="A235" s="40">
        <v>2184</v>
      </c>
      <c r="B235" s="39" t="s">
        <v>1360</v>
      </c>
      <c r="C235" s="40" t="s">
        <v>1281</v>
      </c>
      <c r="D235" s="75" t="s">
        <v>1269</v>
      </c>
      <c r="E235" s="75" t="s">
        <v>1266</v>
      </c>
      <c r="F235" s="75" t="s">
        <v>1268</v>
      </c>
      <c r="G235" s="75" t="s">
        <v>1267</v>
      </c>
    </row>
    <row r="236" spans="1:7" x14ac:dyDescent="0.2">
      <c r="A236" s="40">
        <v>2185</v>
      </c>
      <c r="B236" s="39" t="s">
        <v>1361</v>
      </c>
      <c r="C236" s="40" t="s">
        <v>1281</v>
      </c>
      <c r="D236" s="75" t="s">
        <v>1269</v>
      </c>
      <c r="E236" s="75" t="s">
        <v>1266</v>
      </c>
      <c r="F236" s="75" t="s">
        <v>1268</v>
      </c>
      <c r="G236" s="75" t="s">
        <v>1267</v>
      </c>
    </row>
    <row r="237" spans="1:7" x14ac:dyDescent="0.2">
      <c r="A237" s="40">
        <v>2191</v>
      </c>
      <c r="B237" s="39" t="s">
        <v>1362</v>
      </c>
      <c r="C237" s="40" t="s">
        <v>1281</v>
      </c>
      <c r="D237" s="75" t="s">
        <v>1269</v>
      </c>
      <c r="E237" s="75" t="s">
        <v>1266</v>
      </c>
      <c r="F237" s="75" t="s">
        <v>1268</v>
      </c>
      <c r="G237" s="75" t="s">
        <v>1268</v>
      </c>
    </row>
    <row r="238" spans="1:7" x14ac:dyDescent="0.2">
      <c r="A238" s="40">
        <v>2192</v>
      </c>
      <c r="B238" s="39" t="s">
        <v>1363</v>
      </c>
      <c r="C238" s="40" t="s">
        <v>1281</v>
      </c>
      <c r="D238" s="75" t="s">
        <v>1269</v>
      </c>
      <c r="E238" s="75" t="s">
        <v>1266</v>
      </c>
      <c r="F238" s="75" t="s">
        <v>1268</v>
      </c>
      <c r="G238" s="75" t="s">
        <v>1267</v>
      </c>
    </row>
    <row r="239" spans="1:7" x14ac:dyDescent="0.2">
      <c r="A239" s="40">
        <v>2193</v>
      </c>
      <c r="B239" s="39" t="s">
        <v>1364</v>
      </c>
      <c r="C239" s="40" t="s">
        <v>1281</v>
      </c>
      <c r="D239" s="75" t="s">
        <v>1269</v>
      </c>
      <c r="E239" s="75" t="s">
        <v>1266</v>
      </c>
      <c r="F239" s="75" t="s">
        <v>1268</v>
      </c>
      <c r="G239" s="75" t="s">
        <v>1267</v>
      </c>
    </row>
    <row r="240" spans="1:7" x14ac:dyDescent="0.2">
      <c r="A240" s="40">
        <v>2201</v>
      </c>
      <c r="B240" s="39" t="s">
        <v>1365</v>
      </c>
      <c r="C240" s="40" t="s">
        <v>1281</v>
      </c>
      <c r="D240" s="75" t="s">
        <v>1269</v>
      </c>
      <c r="E240" s="75" t="s">
        <v>1266</v>
      </c>
      <c r="F240" s="75" t="s">
        <v>1268</v>
      </c>
      <c r="G240" s="75" t="s">
        <v>1268</v>
      </c>
    </row>
    <row r="241" spans="1:7" x14ac:dyDescent="0.2">
      <c r="A241" s="40">
        <v>2202</v>
      </c>
      <c r="B241" s="39" t="s">
        <v>1366</v>
      </c>
      <c r="C241" s="40" t="s">
        <v>1281</v>
      </c>
      <c r="D241" s="75" t="s">
        <v>1269</v>
      </c>
      <c r="E241" s="75" t="s">
        <v>1266</v>
      </c>
      <c r="F241" s="75" t="s">
        <v>1268</v>
      </c>
      <c r="G241" s="75" t="s">
        <v>1268</v>
      </c>
    </row>
    <row r="242" spans="1:7" x14ac:dyDescent="0.2">
      <c r="A242" s="40">
        <v>2203</v>
      </c>
      <c r="B242" s="39" t="s">
        <v>1367</v>
      </c>
      <c r="C242" s="40" t="s">
        <v>1281</v>
      </c>
      <c r="D242" s="75" t="s">
        <v>1269</v>
      </c>
      <c r="E242" s="75" t="s">
        <v>1266</v>
      </c>
      <c r="F242" s="75" t="s">
        <v>1268</v>
      </c>
      <c r="G242" s="75" t="s">
        <v>1268</v>
      </c>
    </row>
    <row r="243" spans="1:7" x14ac:dyDescent="0.2">
      <c r="A243" s="40">
        <v>2211</v>
      </c>
      <c r="B243" s="39" t="s">
        <v>1368</v>
      </c>
      <c r="C243" s="40" t="s">
        <v>1281</v>
      </c>
      <c r="D243" s="75" t="s">
        <v>1269</v>
      </c>
      <c r="E243" s="75" t="s">
        <v>1266</v>
      </c>
      <c r="F243" s="75" t="s">
        <v>1268</v>
      </c>
      <c r="G243" s="75" t="s">
        <v>1267</v>
      </c>
    </row>
    <row r="244" spans="1:7" x14ac:dyDescent="0.2">
      <c r="A244" s="40">
        <v>2212</v>
      </c>
      <c r="B244" s="39" t="s">
        <v>1369</v>
      </c>
      <c r="C244" s="40" t="s">
        <v>1281</v>
      </c>
      <c r="D244" s="75" t="s">
        <v>1269</v>
      </c>
      <c r="E244" s="75" t="s">
        <v>1266</v>
      </c>
      <c r="F244" s="75" t="s">
        <v>1268</v>
      </c>
      <c r="G244" s="75" t="s">
        <v>1267</v>
      </c>
    </row>
    <row r="245" spans="1:7" x14ac:dyDescent="0.2">
      <c r="A245" s="40">
        <v>2213</v>
      </c>
      <c r="B245" s="39" t="s">
        <v>1370</v>
      </c>
      <c r="C245" s="40" t="s">
        <v>1281</v>
      </c>
      <c r="D245" s="75" t="s">
        <v>1269</v>
      </c>
      <c r="E245" s="75" t="s">
        <v>1266</v>
      </c>
      <c r="F245" s="75" t="s">
        <v>1268</v>
      </c>
      <c r="G245" s="75" t="s">
        <v>1268</v>
      </c>
    </row>
    <row r="246" spans="1:7" x14ac:dyDescent="0.2">
      <c r="A246" s="40">
        <v>2214</v>
      </c>
      <c r="B246" s="39" t="s">
        <v>1371</v>
      </c>
      <c r="C246" s="40" t="s">
        <v>1281</v>
      </c>
      <c r="D246" s="75" t="s">
        <v>1269</v>
      </c>
      <c r="E246" s="75" t="s">
        <v>1266</v>
      </c>
      <c r="F246" s="75" t="s">
        <v>1268</v>
      </c>
      <c r="G246" s="75" t="s">
        <v>1268</v>
      </c>
    </row>
    <row r="247" spans="1:7" x14ac:dyDescent="0.2">
      <c r="A247" s="40">
        <v>2215</v>
      </c>
      <c r="B247" s="39" t="s">
        <v>1372</v>
      </c>
      <c r="C247" s="40" t="s">
        <v>1281</v>
      </c>
      <c r="D247" s="75" t="s">
        <v>1269</v>
      </c>
      <c r="E247" s="75" t="s">
        <v>1266</v>
      </c>
      <c r="F247" s="75" t="s">
        <v>1268</v>
      </c>
      <c r="G247" s="75" t="s">
        <v>1267</v>
      </c>
    </row>
    <row r="248" spans="1:7" x14ac:dyDescent="0.2">
      <c r="A248" s="40">
        <v>2221</v>
      </c>
      <c r="B248" s="39" t="s">
        <v>1373</v>
      </c>
      <c r="C248" s="40" t="s">
        <v>1281</v>
      </c>
      <c r="D248" s="75" t="s">
        <v>1269</v>
      </c>
      <c r="E248" s="75" t="s">
        <v>1266</v>
      </c>
      <c r="F248" s="75" t="s">
        <v>1268</v>
      </c>
      <c r="G248" s="75" t="s">
        <v>1267</v>
      </c>
    </row>
    <row r="249" spans="1:7" x14ac:dyDescent="0.2">
      <c r="A249" s="40">
        <v>2222</v>
      </c>
      <c r="B249" s="39" t="s">
        <v>1374</v>
      </c>
      <c r="C249" s="40" t="s">
        <v>1281</v>
      </c>
      <c r="D249" s="75" t="s">
        <v>1269</v>
      </c>
      <c r="E249" s="75" t="s">
        <v>1266</v>
      </c>
      <c r="F249" s="75" t="s">
        <v>1268</v>
      </c>
      <c r="G249" s="75" t="s">
        <v>1267</v>
      </c>
    </row>
    <row r="250" spans="1:7" x14ac:dyDescent="0.2">
      <c r="A250" s="40">
        <v>2223</v>
      </c>
      <c r="B250" s="39" t="s">
        <v>1376</v>
      </c>
      <c r="C250" s="40" t="s">
        <v>1281</v>
      </c>
      <c r="D250" s="75" t="s">
        <v>1269</v>
      </c>
      <c r="E250" s="75" t="s">
        <v>1266</v>
      </c>
      <c r="F250" s="75" t="s">
        <v>1268</v>
      </c>
      <c r="G250" s="75" t="s">
        <v>1267</v>
      </c>
    </row>
    <row r="251" spans="1:7" x14ac:dyDescent="0.2">
      <c r="A251" s="40">
        <v>2224</v>
      </c>
      <c r="B251" s="39" t="s">
        <v>1377</v>
      </c>
      <c r="C251" s="40" t="s">
        <v>1281</v>
      </c>
      <c r="D251" s="75" t="s">
        <v>1269</v>
      </c>
      <c r="E251" s="75" t="s">
        <v>1266</v>
      </c>
      <c r="F251" s="75" t="s">
        <v>1268</v>
      </c>
      <c r="G251" s="75" t="s">
        <v>1267</v>
      </c>
    </row>
    <row r="252" spans="1:7" x14ac:dyDescent="0.2">
      <c r="A252" s="40">
        <v>2225</v>
      </c>
      <c r="B252" s="39" t="s">
        <v>1378</v>
      </c>
      <c r="C252" s="40" t="s">
        <v>1281</v>
      </c>
      <c r="D252" s="75" t="s">
        <v>1269</v>
      </c>
      <c r="E252" s="75" t="s">
        <v>1266</v>
      </c>
      <c r="F252" s="75" t="s">
        <v>1268</v>
      </c>
      <c r="G252" s="75" t="s">
        <v>1268</v>
      </c>
    </row>
    <row r="253" spans="1:7" x14ac:dyDescent="0.2">
      <c r="A253" s="40">
        <v>2230</v>
      </c>
      <c r="B253" s="39" t="s">
        <v>1379</v>
      </c>
      <c r="C253" s="40" t="s">
        <v>1281</v>
      </c>
      <c r="D253" s="75" t="s">
        <v>1269</v>
      </c>
      <c r="E253" s="75" t="s">
        <v>1266</v>
      </c>
      <c r="F253" s="75" t="s">
        <v>1268</v>
      </c>
      <c r="G253" s="75" t="s">
        <v>1268</v>
      </c>
    </row>
    <row r="254" spans="1:7" x14ac:dyDescent="0.2">
      <c r="A254" s="40">
        <v>2231</v>
      </c>
      <c r="B254" s="39" t="s">
        <v>1380</v>
      </c>
      <c r="C254" s="40" t="s">
        <v>1281</v>
      </c>
      <c r="D254" s="75" t="s">
        <v>1269</v>
      </c>
      <c r="E254" s="75" t="s">
        <v>1266</v>
      </c>
      <c r="F254" s="75" t="s">
        <v>1268</v>
      </c>
      <c r="G254" s="75" t="s">
        <v>1268</v>
      </c>
    </row>
    <row r="255" spans="1:7" x14ac:dyDescent="0.2">
      <c r="A255" s="40">
        <v>2232</v>
      </c>
      <c r="B255" s="39" t="s">
        <v>1381</v>
      </c>
      <c r="C255" s="40" t="s">
        <v>1281</v>
      </c>
      <c r="D255" s="75" t="s">
        <v>1269</v>
      </c>
      <c r="E255" s="75" t="s">
        <v>1266</v>
      </c>
      <c r="F255" s="75" t="s">
        <v>1268</v>
      </c>
      <c r="G255" s="75" t="s">
        <v>1268</v>
      </c>
    </row>
    <row r="256" spans="1:7" x14ac:dyDescent="0.2">
      <c r="A256" s="40">
        <v>2241</v>
      </c>
      <c r="B256" s="39" t="s">
        <v>1382</v>
      </c>
      <c r="C256" s="40" t="s">
        <v>1281</v>
      </c>
      <c r="D256" s="75" t="s">
        <v>1269</v>
      </c>
      <c r="E256" s="75" t="s">
        <v>1266</v>
      </c>
      <c r="F256" s="75" t="s">
        <v>1268</v>
      </c>
      <c r="G256" s="75" t="s">
        <v>1267</v>
      </c>
    </row>
    <row r="257" spans="1:7" x14ac:dyDescent="0.2">
      <c r="A257" s="40">
        <v>2242</v>
      </c>
      <c r="B257" s="39" t="s">
        <v>1383</v>
      </c>
      <c r="C257" s="40" t="s">
        <v>1281</v>
      </c>
      <c r="D257" s="75" t="s">
        <v>1269</v>
      </c>
      <c r="E257" s="75" t="s">
        <v>1266</v>
      </c>
      <c r="F257" s="75" t="s">
        <v>1268</v>
      </c>
      <c r="G257" s="75" t="s">
        <v>1268</v>
      </c>
    </row>
    <row r="258" spans="1:7" x14ac:dyDescent="0.2">
      <c r="A258" s="40">
        <v>2243</v>
      </c>
      <c r="B258" s="39" t="s">
        <v>1384</v>
      </c>
      <c r="C258" s="40" t="s">
        <v>1281</v>
      </c>
      <c r="D258" s="75" t="s">
        <v>1269</v>
      </c>
      <c r="E258" s="75" t="s">
        <v>1266</v>
      </c>
      <c r="F258" s="75" t="s">
        <v>1268</v>
      </c>
      <c r="G258" s="75" t="s">
        <v>1267</v>
      </c>
    </row>
    <row r="259" spans="1:7" x14ac:dyDescent="0.2">
      <c r="A259" s="40">
        <v>2244</v>
      </c>
      <c r="B259" s="39" t="s">
        <v>1385</v>
      </c>
      <c r="C259" s="40" t="s">
        <v>1281</v>
      </c>
      <c r="D259" s="75" t="s">
        <v>1269</v>
      </c>
      <c r="E259" s="75" t="s">
        <v>1266</v>
      </c>
      <c r="F259" s="75" t="s">
        <v>1268</v>
      </c>
      <c r="G259" s="75" t="s">
        <v>1267</v>
      </c>
    </row>
    <row r="260" spans="1:7" x14ac:dyDescent="0.2">
      <c r="A260" s="40">
        <v>2245</v>
      </c>
      <c r="B260" s="39" t="s">
        <v>1386</v>
      </c>
      <c r="C260" s="40" t="s">
        <v>1281</v>
      </c>
      <c r="D260" s="75" t="s">
        <v>1269</v>
      </c>
      <c r="E260" s="75" t="s">
        <v>1266</v>
      </c>
      <c r="F260" s="75" t="s">
        <v>1268</v>
      </c>
      <c r="G260" s="75" t="s">
        <v>1267</v>
      </c>
    </row>
    <row r="261" spans="1:7" x14ac:dyDescent="0.2">
      <c r="A261" s="40">
        <v>2251</v>
      </c>
      <c r="B261" s="39" t="s">
        <v>1387</v>
      </c>
      <c r="C261" s="40" t="s">
        <v>1281</v>
      </c>
      <c r="D261" s="75" t="s">
        <v>1269</v>
      </c>
      <c r="E261" s="75" t="s">
        <v>1266</v>
      </c>
      <c r="F261" s="75" t="s">
        <v>1268</v>
      </c>
      <c r="G261" s="75" t="s">
        <v>1267</v>
      </c>
    </row>
    <row r="262" spans="1:7" x14ac:dyDescent="0.2">
      <c r="A262" s="40">
        <v>2252</v>
      </c>
      <c r="B262" s="39" t="s">
        <v>1388</v>
      </c>
      <c r="C262" s="40" t="s">
        <v>1281</v>
      </c>
      <c r="D262" s="75" t="s">
        <v>1269</v>
      </c>
      <c r="E262" s="75" t="s">
        <v>1266</v>
      </c>
      <c r="F262" s="75" t="s">
        <v>1268</v>
      </c>
      <c r="G262" s="75" t="s">
        <v>1267</v>
      </c>
    </row>
    <row r="263" spans="1:7" x14ac:dyDescent="0.2">
      <c r="A263" s="40">
        <v>2253</v>
      </c>
      <c r="B263" s="39" t="s">
        <v>1389</v>
      </c>
      <c r="C263" s="40" t="s">
        <v>1281</v>
      </c>
      <c r="D263" s="75" t="s">
        <v>1269</v>
      </c>
      <c r="E263" s="75" t="s">
        <v>1266</v>
      </c>
      <c r="F263" s="75" t="s">
        <v>1268</v>
      </c>
      <c r="G263" s="75" t="s">
        <v>1267</v>
      </c>
    </row>
    <row r="264" spans="1:7" x14ac:dyDescent="0.2">
      <c r="A264" s="40">
        <v>2261</v>
      </c>
      <c r="B264" s="39" t="s">
        <v>1390</v>
      </c>
      <c r="C264" s="40" t="s">
        <v>1281</v>
      </c>
      <c r="D264" s="75" t="s">
        <v>1269</v>
      </c>
      <c r="E264" s="75" t="s">
        <v>1266</v>
      </c>
      <c r="F264" s="75" t="s">
        <v>1268</v>
      </c>
      <c r="G264" s="75" t="s">
        <v>1268</v>
      </c>
    </row>
    <row r="265" spans="1:7" x14ac:dyDescent="0.2">
      <c r="A265" s="40">
        <v>2262</v>
      </c>
      <c r="B265" s="39" t="s">
        <v>1391</v>
      </c>
      <c r="C265" s="40" t="s">
        <v>1281</v>
      </c>
      <c r="D265" s="75" t="s">
        <v>1269</v>
      </c>
      <c r="E265" s="75" t="s">
        <v>1266</v>
      </c>
      <c r="F265" s="75" t="s">
        <v>1268</v>
      </c>
      <c r="G265" s="75" t="s">
        <v>1267</v>
      </c>
    </row>
    <row r="266" spans="1:7" x14ac:dyDescent="0.2">
      <c r="A266" s="40">
        <v>2263</v>
      </c>
      <c r="B266" s="39" t="s">
        <v>1392</v>
      </c>
      <c r="C266" s="40" t="s">
        <v>1281</v>
      </c>
      <c r="D266" s="75" t="s">
        <v>1269</v>
      </c>
      <c r="E266" s="75" t="s">
        <v>1266</v>
      </c>
      <c r="F266" s="75" t="s">
        <v>1268</v>
      </c>
      <c r="G266" s="75" t="s">
        <v>1268</v>
      </c>
    </row>
    <row r="267" spans="1:7" x14ac:dyDescent="0.2">
      <c r="A267" s="40">
        <v>2264</v>
      </c>
      <c r="B267" s="39" t="s">
        <v>1393</v>
      </c>
      <c r="C267" s="40" t="s">
        <v>1281</v>
      </c>
      <c r="D267" s="75" t="s">
        <v>1269</v>
      </c>
      <c r="E267" s="75" t="s">
        <v>1266</v>
      </c>
      <c r="F267" s="75" t="s">
        <v>1268</v>
      </c>
      <c r="G267" s="75" t="s">
        <v>1267</v>
      </c>
    </row>
    <row r="268" spans="1:7" x14ac:dyDescent="0.2">
      <c r="A268" s="40">
        <v>2265</v>
      </c>
      <c r="B268" s="39" t="s">
        <v>1394</v>
      </c>
      <c r="C268" s="40" t="s">
        <v>1281</v>
      </c>
      <c r="D268" s="75" t="s">
        <v>1269</v>
      </c>
      <c r="E268" s="75" t="s">
        <v>1266</v>
      </c>
      <c r="F268" s="75" t="s">
        <v>1268</v>
      </c>
      <c r="G268" s="75" t="s">
        <v>1267</v>
      </c>
    </row>
    <row r="269" spans="1:7" x14ac:dyDescent="0.2">
      <c r="A269" s="40">
        <v>2272</v>
      </c>
      <c r="B269" s="39" t="s">
        <v>1395</v>
      </c>
      <c r="C269" s="40" t="s">
        <v>1281</v>
      </c>
      <c r="D269" s="75" t="s">
        <v>1269</v>
      </c>
      <c r="E269" s="75" t="s">
        <v>1266</v>
      </c>
      <c r="F269" s="75" t="s">
        <v>1268</v>
      </c>
      <c r="G269" s="75" t="s">
        <v>1267</v>
      </c>
    </row>
    <row r="270" spans="1:7" x14ac:dyDescent="0.2">
      <c r="A270" s="40">
        <v>2273</v>
      </c>
      <c r="B270" s="39" t="s">
        <v>1396</v>
      </c>
      <c r="C270" s="40" t="s">
        <v>1281</v>
      </c>
      <c r="D270" s="75" t="s">
        <v>1269</v>
      </c>
      <c r="E270" s="75" t="s">
        <v>1266</v>
      </c>
      <c r="F270" s="75" t="s">
        <v>1268</v>
      </c>
      <c r="G270" s="75" t="s">
        <v>1268</v>
      </c>
    </row>
    <row r="271" spans="1:7" x14ac:dyDescent="0.2">
      <c r="A271" s="40">
        <v>2274</v>
      </c>
      <c r="B271" s="39" t="s">
        <v>1397</v>
      </c>
      <c r="C271" s="40" t="s">
        <v>1281</v>
      </c>
      <c r="D271" s="75" t="s">
        <v>1269</v>
      </c>
      <c r="E271" s="75" t="s">
        <v>1266</v>
      </c>
      <c r="F271" s="75" t="s">
        <v>1268</v>
      </c>
      <c r="G271" s="75" t="s">
        <v>1268</v>
      </c>
    </row>
    <row r="272" spans="1:7" x14ac:dyDescent="0.2">
      <c r="A272" s="40">
        <v>2275</v>
      </c>
      <c r="B272" s="39" t="s">
        <v>1398</v>
      </c>
      <c r="C272" s="40" t="s">
        <v>1281</v>
      </c>
      <c r="D272" s="75" t="s">
        <v>1269</v>
      </c>
      <c r="E272" s="75" t="s">
        <v>1266</v>
      </c>
      <c r="F272" s="75" t="s">
        <v>1268</v>
      </c>
      <c r="G272" s="75" t="s">
        <v>1267</v>
      </c>
    </row>
    <row r="273" spans="1:7" x14ac:dyDescent="0.2">
      <c r="A273" s="40">
        <v>2276</v>
      </c>
      <c r="B273" s="39" t="s">
        <v>1399</v>
      </c>
      <c r="C273" s="40" t="s">
        <v>1281</v>
      </c>
      <c r="D273" s="75" t="s">
        <v>1269</v>
      </c>
      <c r="E273" s="75" t="s">
        <v>1266</v>
      </c>
      <c r="F273" s="75" t="s">
        <v>1268</v>
      </c>
      <c r="G273" s="75" t="s">
        <v>1267</v>
      </c>
    </row>
    <row r="274" spans="1:7" x14ac:dyDescent="0.2">
      <c r="A274" s="40">
        <v>2281</v>
      </c>
      <c r="B274" s="39" t="s">
        <v>1400</v>
      </c>
      <c r="C274" s="40" t="s">
        <v>1281</v>
      </c>
      <c r="D274" s="75" t="s">
        <v>1269</v>
      </c>
      <c r="E274" s="75" t="s">
        <v>1266</v>
      </c>
      <c r="F274" s="75" t="s">
        <v>1268</v>
      </c>
      <c r="G274" s="75" t="s">
        <v>1267</v>
      </c>
    </row>
    <row r="275" spans="1:7" x14ac:dyDescent="0.2">
      <c r="A275" s="40">
        <v>2282</v>
      </c>
      <c r="B275" s="39" t="s">
        <v>1401</v>
      </c>
      <c r="C275" s="40" t="s">
        <v>1281</v>
      </c>
      <c r="D275" s="75" t="s">
        <v>1269</v>
      </c>
      <c r="E275" s="75" t="s">
        <v>1266</v>
      </c>
      <c r="F275" s="75" t="s">
        <v>1268</v>
      </c>
      <c r="G275" s="75" t="s">
        <v>1267</v>
      </c>
    </row>
    <row r="276" spans="1:7" x14ac:dyDescent="0.2">
      <c r="A276" s="40">
        <v>2283</v>
      </c>
      <c r="B276" s="39" t="s">
        <v>1402</v>
      </c>
      <c r="C276" s="40" t="s">
        <v>1281</v>
      </c>
      <c r="D276" s="75" t="s">
        <v>1269</v>
      </c>
      <c r="E276" s="75" t="s">
        <v>1266</v>
      </c>
      <c r="F276" s="75" t="s">
        <v>1268</v>
      </c>
      <c r="G276" s="75" t="s">
        <v>1268</v>
      </c>
    </row>
    <row r="277" spans="1:7" x14ac:dyDescent="0.2">
      <c r="A277" s="40">
        <v>2284</v>
      </c>
      <c r="B277" s="39" t="s">
        <v>1403</v>
      </c>
      <c r="C277" s="40" t="s">
        <v>1281</v>
      </c>
      <c r="D277" s="75" t="s">
        <v>1269</v>
      </c>
      <c r="E277" s="75" t="s">
        <v>1266</v>
      </c>
      <c r="F277" s="75" t="s">
        <v>1268</v>
      </c>
      <c r="G277" s="75" t="s">
        <v>1267</v>
      </c>
    </row>
    <row r="278" spans="1:7" x14ac:dyDescent="0.2">
      <c r="A278" s="40">
        <v>2285</v>
      </c>
      <c r="B278" s="39" t="s">
        <v>1406</v>
      </c>
      <c r="C278" s="40" t="s">
        <v>1281</v>
      </c>
      <c r="D278" s="75" t="s">
        <v>1269</v>
      </c>
      <c r="E278" s="75" t="s">
        <v>1266</v>
      </c>
      <c r="F278" s="75" t="s">
        <v>1268</v>
      </c>
      <c r="G278" s="75" t="s">
        <v>1267</v>
      </c>
    </row>
    <row r="279" spans="1:7" x14ac:dyDescent="0.2">
      <c r="A279" s="40">
        <v>2286</v>
      </c>
      <c r="B279" s="39" t="s">
        <v>1407</v>
      </c>
      <c r="C279" s="40" t="s">
        <v>1281</v>
      </c>
      <c r="D279" s="75" t="s">
        <v>1269</v>
      </c>
      <c r="E279" s="75" t="s">
        <v>1266</v>
      </c>
      <c r="F279" s="75" t="s">
        <v>1268</v>
      </c>
      <c r="G279" s="75" t="s">
        <v>1267</v>
      </c>
    </row>
    <row r="280" spans="1:7" x14ac:dyDescent="0.2">
      <c r="A280" s="40">
        <v>2291</v>
      </c>
      <c r="B280" s="39" t="s">
        <v>1408</v>
      </c>
      <c r="C280" s="40" t="s">
        <v>1281</v>
      </c>
      <c r="D280" s="75" t="s">
        <v>1269</v>
      </c>
      <c r="E280" s="75" t="s">
        <v>1266</v>
      </c>
      <c r="F280" s="75" t="s">
        <v>1268</v>
      </c>
      <c r="G280" s="75" t="s">
        <v>1268</v>
      </c>
    </row>
    <row r="281" spans="1:7" x14ac:dyDescent="0.2">
      <c r="A281" s="40">
        <v>2292</v>
      </c>
      <c r="B281" s="39" t="s">
        <v>1409</v>
      </c>
      <c r="C281" s="40" t="s">
        <v>1281</v>
      </c>
      <c r="D281" s="75" t="s">
        <v>1269</v>
      </c>
      <c r="E281" s="75" t="s">
        <v>1266</v>
      </c>
      <c r="F281" s="75" t="s">
        <v>1268</v>
      </c>
      <c r="G281" s="75" t="s">
        <v>1267</v>
      </c>
    </row>
    <row r="282" spans="1:7" x14ac:dyDescent="0.2">
      <c r="A282" s="40">
        <v>2293</v>
      </c>
      <c r="B282" s="39" t="s">
        <v>1410</v>
      </c>
      <c r="C282" s="40" t="s">
        <v>1281</v>
      </c>
      <c r="D282" s="75" t="s">
        <v>1269</v>
      </c>
      <c r="E282" s="75" t="s">
        <v>1266</v>
      </c>
      <c r="F282" s="75" t="s">
        <v>1268</v>
      </c>
      <c r="G282" s="75" t="s">
        <v>1267</v>
      </c>
    </row>
    <row r="283" spans="1:7" x14ac:dyDescent="0.2">
      <c r="A283" s="40">
        <v>2294</v>
      </c>
      <c r="B283" s="39" t="s">
        <v>1411</v>
      </c>
      <c r="C283" s="40" t="s">
        <v>1281</v>
      </c>
      <c r="D283" s="75" t="s">
        <v>1269</v>
      </c>
      <c r="E283" s="75" t="s">
        <v>1266</v>
      </c>
      <c r="F283" s="75" t="s">
        <v>1268</v>
      </c>
      <c r="G283" s="75" t="s">
        <v>1268</v>
      </c>
    </row>
    <row r="284" spans="1:7" x14ac:dyDescent="0.2">
      <c r="A284" s="40">
        <v>2295</v>
      </c>
      <c r="B284" s="39" t="s">
        <v>1412</v>
      </c>
      <c r="C284" s="40" t="s">
        <v>1281</v>
      </c>
      <c r="D284" s="75" t="s">
        <v>1269</v>
      </c>
      <c r="E284" s="75" t="s">
        <v>1266</v>
      </c>
      <c r="F284" s="75" t="s">
        <v>1268</v>
      </c>
      <c r="G284" s="75" t="s">
        <v>1267</v>
      </c>
    </row>
    <row r="285" spans="1:7" x14ac:dyDescent="0.2">
      <c r="A285" s="40">
        <v>2301</v>
      </c>
      <c r="B285" s="39" t="s">
        <v>1413</v>
      </c>
      <c r="C285" s="40" t="s">
        <v>1281</v>
      </c>
      <c r="D285" s="75" t="s">
        <v>1269</v>
      </c>
      <c r="E285" s="75" t="s">
        <v>1266</v>
      </c>
      <c r="F285" s="75" t="s">
        <v>1268</v>
      </c>
      <c r="G285" s="75" t="s">
        <v>1268</v>
      </c>
    </row>
    <row r="286" spans="1:7" x14ac:dyDescent="0.2">
      <c r="A286" s="40">
        <v>2304</v>
      </c>
      <c r="B286" s="39" t="s">
        <v>1414</v>
      </c>
      <c r="C286" s="40" t="s">
        <v>1281</v>
      </c>
      <c r="D286" s="75" t="s">
        <v>1269</v>
      </c>
      <c r="E286" s="75" t="s">
        <v>1266</v>
      </c>
      <c r="F286" s="75" t="s">
        <v>1268</v>
      </c>
      <c r="G286" s="75" t="s">
        <v>1268</v>
      </c>
    </row>
    <row r="287" spans="1:7" x14ac:dyDescent="0.2">
      <c r="A287" s="40">
        <v>2305</v>
      </c>
      <c r="B287" s="39" t="s">
        <v>1415</v>
      </c>
      <c r="C287" s="40" t="s">
        <v>1281</v>
      </c>
      <c r="D287" s="75" t="s">
        <v>1269</v>
      </c>
      <c r="E287" s="75" t="s">
        <v>1266</v>
      </c>
      <c r="F287" s="75" t="s">
        <v>1268</v>
      </c>
      <c r="G287" s="75" t="s">
        <v>1267</v>
      </c>
    </row>
    <row r="288" spans="1:7" x14ac:dyDescent="0.2">
      <c r="A288" s="40">
        <v>2320</v>
      </c>
      <c r="B288" s="39" t="s">
        <v>1416</v>
      </c>
      <c r="C288" s="40" t="s">
        <v>1281</v>
      </c>
      <c r="D288" s="75" t="s">
        <v>1269</v>
      </c>
      <c r="E288" s="75" t="s">
        <v>1266</v>
      </c>
      <c r="F288" s="75" t="s">
        <v>1268</v>
      </c>
      <c r="G288" s="75" t="s">
        <v>1268</v>
      </c>
    </row>
    <row r="289" spans="1:7" x14ac:dyDescent="0.2">
      <c r="A289" s="40">
        <v>2322</v>
      </c>
      <c r="B289" s="39" t="s">
        <v>1417</v>
      </c>
      <c r="C289" s="40" t="s">
        <v>1281</v>
      </c>
      <c r="D289" s="75" t="s">
        <v>1269</v>
      </c>
      <c r="E289" s="75" t="s">
        <v>1266</v>
      </c>
      <c r="F289" s="75" t="s">
        <v>1268</v>
      </c>
      <c r="G289" s="75" t="s">
        <v>1267</v>
      </c>
    </row>
    <row r="290" spans="1:7" x14ac:dyDescent="0.2">
      <c r="A290" s="40">
        <v>2323</v>
      </c>
      <c r="B290" s="39" t="s">
        <v>1418</v>
      </c>
      <c r="C290" s="40" t="s">
        <v>1281</v>
      </c>
      <c r="D290" s="75" t="s">
        <v>1271</v>
      </c>
      <c r="E290" s="75" t="s">
        <v>1266</v>
      </c>
      <c r="F290" s="75" t="s">
        <v>1267</v>
      </c>
      <c r="G290" s="75" t="s">
        <v>1268</v>
      </c>
    </row>
    <row r="291" spans="1:7" x14ac:dyDescent="0.2">
      <c r="A291" s="40">
        <v>2324</v>
      </c>
      <c r="B291" s="39" t="s">
        <v>1419</v>
      </c>
      <c r="C291" s="40" t="s">
        <v>1281</v>
      </c>
      <c r="D291" s="75" t="s">
        <v>1271</v>
      </c>
      <c r="E291" s="75" t="s">
        <v>1266</v>
      </c>
      <c r="F291" s="75" t="s">
        <v>1267</v>
      </c>
      <c r="G291" s="75" t="s">
        <v>1268</v>
      </c>
    </row>
    <row r="292" spans="1:7" x14ac:dyDescent="0.2">
      <c r="A292" s="40">
        <v>2325</v>
      </c>
      <c r="B292" s="39" t="s">
        <v>1420</v>
      </c>
      <c r="C292" s="40" t="s">
        <v>1281</v>
      </c>
      <c r="D292" s="75" t="s">
        <v>1269</v>
      </c>
      <c r="E292" s="75" t="s">
        <v>1266</v>
      </c>
      <c r="F292" s="75" t="s">
        <v>1268</v>
      </c>
      <c r="G292" s="75" t="s">
        <v>1268</v>
      </c>
    </row>
    <row r="293" spans="1:7" x14ac:dyDescent="0.2">
      <c r="A293" s="40">
        <v>2326</v>
      </c>
      <c r="B293" s="39" t="s">
        <v>1421</v>
      </c>
      <c r="C293" s="40" t="s">
        <v>1281</v>
      </c>
      <c r="D293" s="75" t="s">
        <v>1269</v>
      </c>
      <c r="E293" s="75" t="s">
        <v>1266</v>
      </c>
      <c r="F293" s="75" t="s">
        <v>1268</v>
      </c>
      <c r="G293" s="75" t="s">
        <v>1268</v>
      </c>
    </row>
    <row r="294" spans="1:7" x14ac:dyDescent="0.2">
      <c r="A294" s="40">
        <v>2331</v>
      </c>
      <c r="B294" s="39" t="s">
        <v>1422</v>
      </c>
      <c r="C294" s="40" t="s">
        <v>1281</v>
      </c>
      <c r="D294" s="75" t="s">
        <v>1269</v>
      </c>
      <c r="E294" s="75" t="s">
        <v>1266</v>
      </c>
      <c r="F294" s="75" t="s">
        <v>1268</v>
      </c>
      <c r="G294" s="75" t="s">
        <v>1268</v>
      </c>
    </row>
    <row r="295" spans="1:7" x14ac:dyDescent="0.2">
      <c r="A295" s="40">
        <v>2332</v>
      </c>
      <c r="B295" s="39" t="s">
        <v>1423</v>
      </c>
      <c r="C295" s="40" t="s">
        <v>1281</v>
      </c>
      <c r="D295" s="75" t="s">
        <v>1269</v>
      </c>
      <c r="E295" s="75" t="s">
        <v>1266</v>
      </c>
      <c r="F295" s="75" t="s">
        <v>1268</v>
      </c>
      <c r="G295" s="75" t="s">
        <v>1268</v>
      </c>
    </row>
    <row r="296" spans="1:7" x14ac:dyDescent="0.2">
      <c r="A296" s="40">
        <v>2333</v>
      </c>
      <c r="B296" s="39" t="s">
        <v>1424</v>
      </c>
      <c r="C296" s="40" t="s">
        <v>1281</v>
      </c>
      <c r="D296" s="75" t="s">
        <v>1269</v>
      </c>
      <c r="E296" s="75" t="s">
        <v>1266</v>
      </c>
      <c r="F296" s="75" t="s">
        <v>1268</v>
      </c>
      <c r="G296" s="75" t="s">
        <v>1268</v>
      </c>
    </row>
    <row r="297" spans="1:7" x14ac:dyDescent="0.2">
      <c r="A297" s="40">
        <v>2334</v>
      </c>
      <c r="B297" s="39" t="s">
        <v>1422</v>
      </c>
      <c r="C297" s="40" t="s">
        <v>1281</v>
      </c>
      <c r="D297" s="75" t="s">
        <v>1269</v>
      </c>
      <c r="E297" s="75" t="s">
        <v>1266</v>
      </c>
      <c r="F297" s="75" t="s">
        <v>1268</v>
      </c>
      <c r="G297" s="75" t="s">
        <v>1268</v>
      </c>
    </row>
    <row r="298" spans="1:7" x14ac:dyDescent="0.2">
      <c r="A298" s="40">
        <v>2340</v>
      </c>
      <c r="B298" s="39" t="s">
        <v>1425</v>
      </c>
      <c r="C298" s="40" t="s">
        <v>1281</v>
      </c>
      <c r="D298" s="75" t="s">
        <v>1269</v>
      </c>
      <c r="E298" s="75" t="s">
        <v>1266</v>
      </c>
      <c r="F298" s="75" t="s">
        <v>1268</v>
      </c>
      <c r="G298" s="75" t="s">
        <v>1268</v>
      </c>
    </row>
    <row r="299" spans="1:7" x14ac:dyDescent="0.2">
      <c r="A299" s="40">
        <v>2342</v>
      </c>
      <c r="B299" s="39" t="s">
        <v>1425</v>
      </c>
      <c r="C299" s="40" t="s">
        <v>1281</v>
      </c>
      <c r="D299" s="75" t="s">
        <v>1271</v>
      </c>
      <c r="E299" s="75" t="s">
        <v>1266</v>
      </c>
      <c r="F299" s="75" t="s">
        <v>1267</v>
      </c>
      <c r="G299" s="75" t="s">
        <v>1268</v>
      </c>
    </row>
    <row r="300" spans="1:7" x14ac:dyDescent="0.2">
      <c r="A300" s="40">
        <v>2344</v>
      </c>
      <c r="B300" s="39" t="s">
        <v>1426</v>
      </c>
      <c r="C300" s="40" t="s">
        <v>1281</v>
      </c>
      <c r="D300" s="75" t="s">
        <v>1269</v>
      </c>
      <c r="E300" s="75" t="s">
        <v>1266</v>
      </c>
      <c r="F300" s="75" t="s">
        <v>1268</v>
      </c>
      <c r="G300" s="75" t="s">
        <v>1268</v>
      </c>
    </row>
    <row r="301" spans="1:7" x14ac:dyDescent="0.2">
      <c r="A301" s="40">
        <v>2345</v>
      </c>
      <c r="B301" s="39" t="s">
        <v>1427</v>
      </c>
      <c r="C301" s="40" t="s">
        <v>1281</v>
      </c>
      <c r="D301" s="75" t="s">
        <v>1269</v>
      </c>
      <c r="E301" s="75" t="s">
        <v>1266</v>
      </c>
      <c r="F301" s="75" t="s">
        <v>1268</v>
      </c>
      <c r="G301" s="75" t="s">
        <v>1268</v>
      </c>
    </row>
    <row r="302" spans="1:7" x14ac:dyDescent="0.2">
      <c r="A302" s="40">
        <v>2346</v>
      </c>
      <c r="B302" s="39" t="s">
        <v>1784</v>
      </c>
      <c r="C302" s="40" t="s">
        <v>1281</v>
      </c>
      <c r="D302" s="75" t="s">
        <v>1271</v>
      </c>
      <c r="E302" s="75" t="s">
        <v>1266</v>
      </c>
      <c r="F302" s="75" t="s">
        <v>1267</v>
      </c>
      <c r="G302" s="75" t="s">
        <v>1268</v>
      </c>
    </row>
    <row r="303" spans="1:7" x14ac:dyDescent="0.2">
      <c r="A303" s="40">
        <v>2351</v>
      </c>
      <c r="B303" s="39" t="s">
        <v>1785</v>
      </c>
      <c r="C303" s="40" t="s">
        <v>1281</v>
      </c>
      <c r="D303" s="75" t="s">
        <v>1269</v>
      </c>
      <c r="E303" s="75" t="s">
        <v>1266</v>
      </c>
      <c r="F303" s="75" t="s">
        <v>1268</v>
      </c>
      <c r="G303" s="75" t="s">
        <v>1268</v>
      </c>
    </row>
    <row r="304" spans="1:7" x14ac:dyDescent="0.2">
      <c r="A304" s="40">
        <v>2352</v>
      </c>
      <c r="B304" s="39" t="s">
        <v>178</v>
      </c>
      <c r="C304" s="40" t="s">
        <v>1281</v>
      </c>
      <c r="D304" s="75" t="s">
        <v>1269</v>
      </c>
      <c r="E304" s="75" t="s">
        <v>1266</v>
      </c>
      <c r="F304" s="75" t="s">
        <v>1268</v>
      </c>
      <c r="G304" s="75" t="s">
        <v>1268</v>
      </c>
    </row>
    <row r="305" spans="1:7" x14ac:dyDescent="0.2">
      <c r="A305" s="40">
        <v>2353</v>
      </c>
      <c r="B305" s="39" t="s">
        <v>1786</v>
      </c>
      <c r="C305" s="40" t="s">
        <v>1281</v>
      </c>
      <c r="D305" s="75" t="s">
        <v>1269</v>
      </c>
      <c r="E305" s="75" t="s">
        <v>1266</v>
      </c>
      <c r="F305" s="75" t="s">
        <v>1268</v>
      </c>
      <c r="G305" s="75" t="s">
        <v>1268</v>
      </c>
    </row>
    <row r="306" spans="1:7" x14ac:dyDescent="0.2">
      <c r="A306" s="40">
        <v>2355</v>
      </c>
      <c r="B306" s="39" t="s">
        <v>1785</v>
      </c>
      <c r="C306" s="40" t="s">
        <v>1281</v>
      </c>
      <c r="D306" s="75" t="s">
        <v>1271</v>
      </c>
      <c r="E306" s="75" t="s">
        <v>1266</v>
      </c>
      <c r="F306" s="75" t="s">
        <v>1267</v>
      </c>
      <c r="G306" s="75" t="s">
        <v>1268</v>
      </c>
    </row>
    <row r="307" spans="1:7" x14ac:dyDescent="0.2">
      <c r="A307" s="40">
        <v>2361</v>
      </c>
      <c r="B307" s="39" t="s">
        <v>1787</v>
      </c>
      <c r="C307" s="40" t="s">
        <v>1281</v>
      </c>
      <c r="D307" s="75" t="s">
        <v>1269</v>
      </c>
      <c r="E307" s="75" t="s">
        <v>1266</v>
      </c>
      <c r="F307" s="75" t="s">
        <v>1268</v>
      </c>
      <c r="G307" s="75" t="s">
        <v>1268</v>
      </c>
    </row>
    <row r="308" spans="1:7" x14ac:dyDescent="0.2">
      <c r="A308" s="40">
        <v>2362</v>
      </c>
      <c r="B308" s="39" t="s">
        <v>1788</v>
      </c>
      <c r="C308" s="40" t="s">
        <v>1281</v>
      </c>
      <c r="D308" s="75" t="s">
        <v>1269</v>
      </c>
      <c r="E308" s="75" t="s">
        <v>1266</v>
      </c>
      <c r="F308" s="75" t="s">
        <v>1268</v>
      </c>
      <c r="G308" s="75" t="s">
        <v>1268</v>
      </c>
    </row>
    <row r="309" spans="1:7" x14ac:dyDescent="0.2">
      <c r="A309" s="40">
        <v>2371</v>
      </c>
      <c r="B309" s="39" t="s">
        <v>1789</v>
      </c>
      <c r="C309" s="40" t="s">
        <v>1281</v>
      </c>
      <c r="D309" s="75" t="s">
        <v>1269</v>
      </c>
      <c r="E309" s="75" t="s">
        <v>1266</v>
      </c>
      <c r="F309" s="75" t="s">
        <v>1268</v>
      </c>
      <c r="G309" s="75" t="s">
        <v>1268</v>
      </c>
    </row>
    <row r="310" spans="1:7" x14ac:dyDescent="0.2">
      <c r="A310" s="40">
        <v>2372</v>
      </c>
      <c r="B310" s="39" t="s">
        <v>1790</v>
      </c>
      <c r="C310" s="40" t="s">
        <v>1281</v>
      </c>
      <c r="D310" s="75" t="s">
        <v>1269</v>
      </c>
      <c r="E310" s="75" t="s">
        <v>1266</v>
      </c>
      <c r="F310" s="75" t="s">
        <v>1268</v>
      </c>
      <c r="G310" s="75" t="s">
        <v>1267</v>
      </c>
    </row>
    <row r="311" spans="1:7" x14ac:dyDescent="0.2">
      <c r="A311" s="40">
        <v>2380</v>
      </c>
      <c r="B311" s="39" t="s">
        <v>1791</v>
      </c>
      <c r="C311" s="40" t="s">
        <v>1281</v>
      </c>
      <c r="D311" s="75" t="s">
        <v>1269</v>
      </c>
      <c r="E311" s="75" t="s">
        <v>1266</v>
      </c>
      <c r="F311" s="75" t="s">
        <v>1268</v>
      </c>
      <c r="G311" s="75" t="s">
        <v>1268</v>
      </c>
    </row>
    <row r="312" spans="1:7" x14ac:dyDescent="0.2">
      <c r="A312" s="40">
        <v>2381</v>
      </c>
      <c r="B312" s="39" t="s">
        <v>1792</v>
      </c>
      <c r="C312" s="40" t="s">
        <v>1281</v>
      </c>
      <c r="D312" s="75" t="s">
        <v>1269</v>
      </c>
      <c r="E312" s="75" t="s">
        <v>1266</v>
      </c>
      <c r="F312" s="75" t="s">
        <v>1268</v>
      </c>
      <c r="G312" s="75" t="s">
        <v>1267</v>
      </c>
    </row>
    <row r="313" spans="1:7" x14ac:dyDescent="0.2">
      <c r="A313" s="40">
        <v>2384</v>
      </c>
      <c r="B313" s="39" t="s">
        <v>1793</v>
      </c>
      <c r="C313" s="40" t="s">
        <v>1281</v>
      </c>
      <c r="D313" s="75" t="s">
        <v>1269</v>
      </c>
      <c r="E313" s="75" t="s">
        <v>1266</v>
      </c>
      <c r="F313" s="75" t="s">
        <v>1268</v>
      </c>
      <c r="G313" s="75" t="s">
        <v>1268</v>
      </c>
    </row>
    <row r="314" spans="1:7" x14ac:dyDescent="0.2">
      <c r="A314" s="40">
        <v>2391</v>
      </c>
      <c r="B314" s="39" t="s">
        <v>1794</v>
      </c>
      <c r="C314" s="40" t="s">
        <v>1281</v>
      </c>
      <c r="D314" s="75" t="s">
        <v>1269</v>
      </c>
      <c r="E314" s="75" t="s">
        <v>1266</v>
      </c>
      <c r="F314" s="75" t="s">
        <v>1268</v>
      </c>
      <c r="G314" s="75" t="s">
        <v>1268</v>
      </c>
    </row>
    <row r="315" spans="1:7" x14ac:dyDescent="0.2">
      <c r="A315" s="40">
        <v>2392</v>
      </c>
      <c r="B315" s="39" t="s">
        <v>1795</v>
      </c>
      <c r="C315" s="40" t="s">
        <v>1281</v>
      </c>
      <c r="D315" s="75" t="s">
        <v>1269</v>
      </c>
      <c r="E315" s="75" t="s">
        <v>1266</v>
      </c>
      <c r="F315" s="75" t="s">
        <v>1268</v>
      </c>
      <c r="G315" s="75" t="s">
        <v>1268</v>
      </c>
    </row>
    <row r="316" spans="1:7" x14ac:dyDescent="0.2">
      <c r="A316" s="40">
        <v>2393</v>
      </c>
      <c r="B316" s="39" t="s">
        <v>1796</v>
      </c>
      <c r="C316" s="40" t="s">
        <v>1281</v>
      </c>
      <c r="D316" s="75" t="s">
        <v>1269</v>
      </c>
      <c r="E316" s="75" t="s">
        <v>1266</v>
      </c>
      <c r="F316" s="75" t="s">
        <v>1268</v>
      </c>
      <c r="G316" s="75" t="s">
        <v>1267</v>
      </c>
    </row>
    <row r="317" spans="1:7" x14ac:dyDescent="0.2">
      <c r="A317" s="40">
        <v>2401</v>
      </c>
      <c r="B317" s="39" t="s">
        <v>1797</v>
      </c>
      <c r="C317" s="40" t="s">
        <v>1281</v>
      </c>
      <c r="D317" s="75" t="s">
        <v>1269</v>
      </c>
      <c r="E317" s="75" t="s">
        <v>1266</v>
      </c>
      <c r="F317" s="75" t="s">
        <v>1268</v>
      </c>
      <c r="G317" s="75" t="s">
        <v>1268</v>
      </c>
    </row>
    <row r="318" spans="1:7" x14ac:dyDescent="0.2">
      <c r="A318" s="40">
        <v>2402</v>
      </c>
      <c r="B318" s="39" t="s">
        <v>1798</v>
      </c>
      <c r="C318" s="40" t="s">
        <v>1281</v>
      </c>
      <c r="D318" s="75" t="s">
        <v>1269</v>
      </c>
      <c r="E318" s="75" t="s">
        <v>1266</v>
      </c>
      <c r="F318" s="75" t="s">
        <v>1268</v>
      </c>
      <c r="G318" s="75" t="s">
        <v>1268</v>
      </c>
    </row>
    <row r="319" spans="1:7" x14ac:dyDescent="0.2">
      <c r="A319" s="40">
        <v>2403</v>
      </c>
      <c r="B319" s="39" t="s">
        <v>1799</v>
      </c>
      <c r="C319" s="40" t="s">
        <v>1281</v>
      </c>
      <c r="D319" s="75" t="s">
        <v>1269</v>
      </c>
      <c r="E319" s="75" t="s">
        <v>1266</v>
      </c>
      <c r="F319" s="75" t="s">
        <v>1268</v>
      </c>
      <c r="G319" s="75" t="s">
        <v>1267</v>
      </c>
    </row>
    <row r="320" spans="1:7" x14ac:dyDescent="0.2">
      <c r="A320" s="40">
        <v>2404</v>
      </c>
      <c r="B320" s="39" t="s">
        <v>1800</v>
      </c>
      <c r="C320" s="40" t="s">
        <v>1281</v>
      </c>
      <c r="D320" s="75" t="s">
        <v>1269</v>
      </c>
      <c r="E320" s="75" t="s">
        <v>1266</v>
      </c>
      <c r="F320" s="75" t="s">
        <v>1268</v>
      </c>
      <c r="G320" s="75" t="s">
        <v>1267</v>
      </c>
    </row>
    <row r="321" spans="1:7" x14ac:dyDescent="0.2">
      <c r="A321" s="40">
        <v>2405</v>
      </c>
      <c r="B321" s="39" t="s">
        <v>1801</v>
      </c>
      <c r="C321" s="40" t="s">
        <v>1281</v>
      </c>
      <c r="D321" s="75" t="s">
        <v>1269</v>
      </c>
      <c r="E321" s="75" t="s">
        <v>1266</v>
      </c>
      <c r="F321" s="75" t="s">
        <v>1268</v>
      </c>
      <c r="G321" s="75" t="s">
        <v>1268</v>
      </c>
    </row>
    <row r="322" spans="1:7" x14ac:dyDescent="0.2">
      <c r="A322" s="40">
        <v>2410</v>
      </c>
      <c r="B322" s="39" t="s">
        <v>1802</v>
      </c>
      <c r="C322" s="40" t="s">
        <v>1281</v>
      </c>
      <c r="D322" s="75" t="s">
        <v>1269</v>
      </c>
      <c r="E322" s="75" t="s">
        <v>1266</v>
      </c>
      <c r="F322" s="75" t="s">
        <v>1268</v>
      </c>
      <c r="G322" s="75" t="s">
        <v>1268</v>
      </c>
    </row>
    <row r="323" spans="1:7" x14ac:dyDescent="0.2">
      <c r="A323" s="40">
        <v>2412</v>
      </c>
      <c r="B323" s="39" t="s">
        <v>1803</v>
      </c>
      <c r="C323" s="40" t="s">
        <v>1281</v>
      </c>
      <c r="D323" s="75" t="s">
        <v>1269</v>
      </c>
      <c r="E323" s="75" t="s">
        <v>1266</v>
      </c>
      <c r="F323" s="75" t="s">
        <v>1268</v>
      </c>
      <c r="G323" s="75" t="s">
        <v>1267</v>
      </c>
    </row>
    <row r="324" spans="1:7" x14ac:dyDescent="0.2">
      <c r="A324" s="40">
        <v>2413</v>
      </c>
      <c r="B324" s="39" t="s">
        <v>1804</v>
      </c>
      <c r="C324" s="40" t="s">
        <v>1281</v>
      </c>
      <c r="D324" s="75" t="s">
        <v>1269</v>
      </c>
      <c r="E324" s="75" t="s">
        <v>1266</v>
      </c>
      <c r="F324" s="75" t="s">
        <v>1268</v>
      </c>
      <c r="G324" s="75" t="s">
        <v>1267</v>
      </c>
    </row>
    <row r="325" spans="1:7" x14ac:dyDescent="0.2">
      <c r="A325" s="40">
        <v>2421</v>
      </c>
      <c r="B325" s="39" t="s">
        <v>1805</v>
      </c>
      <c r="C325" s="40" t="s">
        <v>1806</v>
      </c>
      <c r="D325" s="75" t="s">
        <v>1269</v>
      </c>
      <c r="E325" s="75" t="s">
        <v>1266</v>
      </c>
      <c r="F325" s="75" t="s">
        <v>1268</v>
      </c>
      <c r="G325" s="75" t="s">
        <v>1268</v>
      </c>
    </row>
    <row r="326" spans="1:7" x14ac:dyDescent="0.2">
      <c r="A326" s="40">
        <v>2422</v>
      </c>
      <c r="B326" s="39" t="s">
        <v>1807</v>
      </c>
      <c r="C326" s="40" t="s">
        <v>1806</v>
      </c>
      <c r="D326" s="75" t="s">
        <v>1269</v>
      </c>
      <c r="E326" s="75" t="s">
        <v>1266</v>
      </c>
      <c r="F326" s="75" t="s">
        <v>1268</v>
      </c>
      <c r="G326" s="75" t="s">
        <v>1267</v>
      </c>
    </row>
    <row r="327" spans="1:7" x14ac:dyDescent="0.2">
      <c r="A327" s="40">
        <v>2423</v>
      </c>
      <c r="B327" s="39" t="s">
        <v>1808</v>
      </c>
      <c r="C327" s="40" t="s">
        <v>1806</v>
      </c>
      <c r="D327" s="75" t="s">
        <v>1269</v>
      </c>
      <c r="E327" s="75" t="s">
        <v>1266</v>
      </c>
      <c r="F327" s="75" t="s">
        <v>1268</v>
      </c>
      <c r="G327" s="75" t="s">
        <v>1267</v>
      </c>
    </row>
    <row r="328" spans="1:7" x14ac:dyDescent="0.2">
      <c r="A328" s="40">
        <v>2424</v>
      </c>
      <c r="B328" s="39" t="s">
        <v>1809</v>
      </c>
      <c r="C328" s="40" t="s">
        <v>1806</v>
      </c>
      <c r="D328" s="75" t="s">
        <v>1269</v>
      </c>
      <c r="E328" s="75" t="s">
        <v>1266</v>
      </c>
      <c r="F328" s="75" t="s">
        <v>1268</v>
      </c>
      <c r="G328" s="75" t="s">
        <v>1268</v>
      </c>
    </row>
    <row r="329" spans="1:7" x14ac:dyDescent="0.2">
      <c r="A329" s="40">
        <v>2425</v>
      </c>
      <c r="B329" s="39" t="s">
        <v>1810</v>
      </c>
      <c r="C329" s="40" t="s">
        <v>1806</v>
      </c>
      <c r="D329" s="75" t="s">
        <v>1269</v>
      </c>
      <c r="E329" s="75" t="s">
        <v>1266</v>
      </c>
      <c r="F329" s="75" t="s">
        <v>1268</v>
      </c>
      <c r="G329" s="75" t="s">
        <v>1268</v>
      </c>
    </row>
    <row r="330" spans="1:7" x14ac:dyDescent="0.2">
      <c r="A330" s="40">
        <v>2431</v>
      </c>
      <c r="B330" s="39" t="s">
        <v>1811</v>
      </c>
      <c r="C330" s="40" t="s">
        <v>1281</v>
      </c>
      <c r="D330" s="75" t="s">
        <v>1269</v>
      </c>
      <c r="E330" s="75" t="s">
        <v>1266</v>
      </c>
      <c r="F330" s="75" t="s">
        <v>1268</v>
      </c>
      <c r="G330" s="75" t="s">
        <v>1267</v>
      </c>
    </row>
    <row r="331" spans="1:7" x14ac:dyDescent="0.2">
      <c r="A331" s="40">
        <v>2432</v>
      </c>
      <c r="B331" s="39" t="s">
        <v>1812</v>
      </c>
      <c r="C331" s="40" t="s">
        <v>1281</v>
      </c>
      <c r="D331" s="75" t="s">
        <v>1269</v>
      </c>
      <c r="E331" s="75" t="s">
        <v>1266</v>
      </c>
      <c r="F331" s="75" t="s">
        <v>1268</v>
      </c>
      <c r="G331" s="75" t="s">
        <v>1268</v>
      </c>
    </row>
    <row r="332" spans="1:7" x14ac:dyDescent="0.2">
      <c r="A332" s="40">
        <v>2433</v>
      </c>
      <c r="B332" s="39" t="s">
        <v>1813</v>
      </c>
      <c r="C332" s="40" t="s">
        <v>1281</v>
      </c>
      <c r="D332" s="75" t="s">
        <v>1269</v>
      </c>
      <c r="E332" s="75" t="s">
        <v>1266</v>
      </c>
      <c r="F332" s="75" t="s">
        <v>1268</v>
      </c>
      <c r="G332" s="75" t="s">
        <v>1267</v>
      </c>
    </row>
    <row r="333" spans="1:7" x14ac:dyDescent="0.2">
      <c r="A333" s="40">
        <v>2434</v>
      </c>
      <c r="B333" s="39" t="s">
        <v>1814</v>
      </c>
      <c r="C333" s="40" t="s">
        <v>1281</v>
      </c>
      <c r="D333" s="75" t="s">
        <v>1269</v>
      </c>
      <c r="E333" s="75" t="s">
        <v>1266</v>
      </c>
      <c r="F333" s="75" t="s">
        <v>1268</v>
      </c>
      <c r="G333" s="75" t="s">
        <v>1267</v>
      </c>
    </row>
    <row r="334" spans="1:7" x14ac:dyDescent="0.2">
      <c r="A334" s="40">
        <v>2435</v>
      </c>
      <c r="B334" s="39" t="s">
        <v>1815</v>
      </c>
      <c r="C334" s="40" t="s">
        <v>1281</v>
      </c>
      <c r="D334" s="75" t="s">
        <v>1269</v>
      </c>
      <c r="E334" s="75" t="s">
        <v>1266</v>
      </c>
      <c r="F334" s="75" t="s">
        <v>1268</v>
      </c>
      <c r="G334" s="75" t="s">
        <v>1268</v>
      </c>
    </row>
    <row r="335" spans="1:7" x14ac:dyDescent="0.2">
      <c r="A335" s="40">
        <v>2440</v>
      </c>
      <c r="B335" s="39" t="s">
        <v>1816</v>
      </c>
      <c r="C335" s="40" t="s">
        <v>1281</v>
      </c>
      <c r="D335" s="75" t="s">
        <v>1269</v>
      </c>
      <c r="E335" s="75" t="s">
        <v>1266</v>
      </c>
      <c r="F335" s="75" t="s">
        <v>1268</v>
      </c>
      <c r="G335" s="75" t="s">
        <v>1268</v>
      </c>
    </row>
    <row r="336" spans="1:7" x14ac:dyDescent="0.2">
      <c r="A336" s="40">
        <v>2441</v>
      </c>
      <c r="B336" s="39" t="s">
        <v>1817</v>
      </c>
      <c r="C336" s="40" t="s">
        <v>1281</v>
      </c>
      <c r="D336" s="75" t="s">
        <v>1269</v>
      </c>
      <c r="E336" s="75" t="s">
        <v>1266</v>
      </c>
      <c r="F336" s="75" t="s">
        <v>1268</v>
      </c>
      <c r="G336" s="75" t="s">
        <v>1267</v>
      </c>
    </row>
    <row r="337" spans="1:7" x14ac:dyDescent="0.2">
      <c r="A337" s="40">
        <v>2442</v>
      </c>
      <c r="B337" s="39" t="s">
        <v>1818</v>
      </c>
      <c r="C337" s="40" t="s">
        <v>1281</v>
      </c>
      <c r="D337" s="75" t="s">
        <v>1269</v>
      </c>
      <c r="E337" s="75" t="s">
        <v>1266</v>
      </c>
      <c r="F337" s="75" t="s">
        <v>1268</v>
      </c>
      <c r="G337" s="75" t="s">
        <v>1268</v>
      </c>
    </row>
    <row r="338" spans="1:7" x14ac:dyDescent="0.2">
      <c r="A338" s="40">
        <v>2443</v>
      </c>
      <c r="B338" s="39" t="s">
        <v>1819</v>
      </c>
      <c r="C338" s="40" t="s">
        <v>1281</v>
      </c>
      <c r="D338" s="75" t="s">
        <v>1269</v>
      </c>
      <c r="E338" s="75" t="s">
        <v>1266</v>
      </c>
      <c r="F338" s="75" t="s">
        <v>1268</v>
      </c>
      <c r="G338" s="75" t="s">
        <v>1268</v>
      </c>
    </row>
    <row r="339" spans="1:7" x14ac:dyDescent="0.2">
      <c r="A339" s="40">
        <v>2444</v>
      </c>
      <c r="B339" s="39" t="s">
        <v>1820</v>
      </c>
      <c r="C339" s="40" t="s">
        <v>1281</v>
      </c>
      <c r="D339" s="75" t="s">
        <v>1269</v>
      </c>
      <c r="E339" s="75" t="s">
        <v>1266</v>
      </c>
      <c r="F339" s="75" t="s">
        <v>1268</v>
      </c>
      <c r="G339" s="75" t="s">
        <v>1267</v>
      </c>
    </row>
    <row r="340" spans="1:7" x14ac:dyDescent="0.2">
      <c r="A340" s="40">
        <v>2451</v>
      </c>
      <c r="B340" s="39" t="s">
        <v>1821</v>
      </c>
      <c r="C340" s="40" t="s">
        <v>1281</v>
      </c>
      <c r="D340" s="75" t="s">
        <v>1269</v>
      </c>
      <c r="E340" s="75" t="s">
        <v>1266</v>
      </c>
      <c r="F340" s="75" t="s">
        <v>1268</v>
      </c>
      <c r="G340" s="75" t="s">
        <v>1268</v>
      </c>
    </row>
    <row r="341" spans="1:7" x14ac:dyDescent="0.2">
      <c r="A341" s="40">
        <v>2452</v>
      </c>
      <c r="B341" s="39" t="s">
        <v>1822</v>
      </c>
      <c r="C341" s="40" t="s">
        <v>1281</v>
      </c>
      <c r="D341" s="75" t="s">
        <v>1269</v>
      </c>
      <c r="E341" s="75" t="s">
        <v>1266</v>
      </c>
      <c r="F341" s="75" t="s">
        <v>1268</v>
      </c>
      <c r="G341" s="75" t="s">
        <v>1268</v>
      </c>
    </row>
    <row r="342" spans="1:7" x14ac:dyDescent="0.2">
      <c r="A342" s="40">
        <v>2453</v>
      </c>
      <c r="B342" s="39" t="s">
        <v>1823</v>
      </c>
      <c r="C342" s="40" t="s">
        <v>1281</v>
      </c>
      <c r="D342" s="75" t="s">
        <v>1269</v>
      </c>
      <c r="E342" s="75" t="s">
        <v>1266</v>
      </c>
      <c r="F342" s="75" t="s">
        <v>1268</v>
      </c>
      <c r="G342" s="75" t="s">
        <v>1267</v>
      </c>
    </row>
    <row r="343" spans="1:7" x14ac:dyDescent="0.2">
      <c r="A343" s="40">
        <v>2454</v>
      </c>
      <c r="B343" s="39" t="s">
        <v>1824</v>
      </c>
      <c r="C343" s="40" t="s">
        <v>1281</v>
      </c>
      <c r="D343" s="75" t="s">
        <v>1269</v>
      </c>
      <c r="E343" s="75" t="s">
        <v>1266</v>
      </c>
      <c r="F343" s="75" t="s">
        <v>1268</v>
      </c>
      <c r="G343" s="75" t="s">
        <v>1267</v>
      </c>
    </row>
    <row r="344" spans="1:7" x14ac:dyDescent="0.2">
      <c r="A344" s="40">
        <v>2460</v>
      </c>
      <c r="B344" s="39" t="s">
        <v>1825</v>
      </c>
      <c r="C344" s="40" t="s">
        <v>1281</v>
      </c>
      <c r="D344" s="75" t="s">
        <v>1269</v>
      </c>
      <c r="E344" s="75" t="s">
        <v>1266</v>
      </c>
      <c r="F344" s="75" t="s">
        <v>1268</v>
      </c>
      <c r="G344" s="75" t="s">
        <v>1268</v>
      </c>
    </row>
    <row r="345" spans="1:7" x14ac:dyDescent="0.2">
      <c r="A345" s="40">
        <v>2462</v>
      </c>
      <c r="B345" s="39" t="s">
        <v>1826</v>
      </c>
      <c r="C345" s="40" t="s">
        <v>1281</v>
      </c>
      <c r="D345" s="75" t="s">
        <v>1269</v>
      </c>
      <c r="E345" s="75" t="s">
        <v>1266</v>
      </c>
      <c r="F345" s="75" t="s">
        <v>1268</v>
      </c>
      <c r="G345" s="75" t="s">
        <v>1267</v>
      </c>
    </row>
    <row r="346" spans="1:7" x14ac:dyDescent="0.2">
      <c r="A346" s="40">
        <v>2463</v>
      </c>
      <c r="B346" s="39" t="s">
        <v>1827</v>
      </c>
      <c r="C346" s="40" t="s">
        <v>1281</v>
      </c>
      <c r="D346" s="75" t="s">
        <v>1269</v>
      </c>
      <c r="E346" s="75" t="s">
        <v>1266</v>
      </c>
      <c r="F346" s="75" t="s">
        <v>1268</v>
      </c>
      <c r="G346" s="75" t="s">
        <v>1267</v>
      </c>
    </row>
    <row r="347" spans="1:7" x14ac:dyDescent="0.2">
      <c r="A347" s="40">
        <v>2464</v>
      </c>
      <c r="B347" s="39" t="s">
        <v>1828</v>
      </c>
      <c r="C347" s="40" t="s">
        <v>1281</v>
      </c>
      <c r="D347" s="75" t="s">
        <v>1269</v>
      </c>
      <c r="E347" s="75" t="s">
        <v>1266</v>
      </c>
      <c r="F347" s="75" t="s">
        <v>1268</v>
      </c>
      <c r="G347" s="75" t="s">
        <v>1267</v>
      </c>
    </row>
    <row r="348" spans="1:7" x14ac:dyDescent="0.2">
      <c r="A348" s="40">
        <v>2465</v>
      </c>
      <c r="B348" s="39" t="s">
        <v>1829</v>
      </c>
      <c r="C348" s="40" t="s">
        <v>1281</v>
      </c>
      <c r="D348" s="75" t="s">
        <v>1269</v>
      </c>
      <c r="E348" s="75" t="s">
        <v>1266</v>
      </c>
      <c r="F348" s="75" t="s">
        <v>1268</v>
      </c>
      <c r="G348" s="75" t="s">
        <v>1267</v>
      </c>
    </row>
    <row r="349" spans="1:7" x14ac:dyDescent="0.2">
      <c r="A349" s="40">
        <v>2471</v>
      </c>
      <c r="B349" s="39" t="s">
        <v>1830</v>
      </c>
      <c r="C349" s="40" t="s">
        <v>1281</v>
      </c>
      <c r="D349" s="75" t="s">
        <v>1269</v>
      </c>
      <c r="E349" s="75" t="s">
        <v>1266</v>
      </c>
      <c r="F349" s="75" t="s">
        <v>1268</v>
      </c>
      <c r="G349" s="75" t="s">
        <v>1267</v>
      </c>
    </row>
    <row r="350" spans="1:7" x14ac:dyDescent="0.2">
      <c r="A350" s="40">
        <v>2472</v>
      </c>
      <c r="B350" s="39" t="s">
        <v>1831</v>
      </c>
      <c r="C350" s="40" t="s">
        <v>1281</v>
      </c>
      <c r="D350" s="75" t="s">
        <v>1269</v>
      </c>
      <c r="E350" s="75" t="s">
        <v>1266</v>
      </c>
      <c r="F350" s="75" t="s">
        <v>1268</v>
      </c>
      <c r="G350" s="75" t="s">
        <v>1267</v>
      </c>
    </row>
    <row r="351" spans="1:7" x14ac:dyDescent="0.2">
      <c r="A351" s="40">
        <v>2473</v>
      </c>
      <c r="B351" s="39" t="s">
        <v>1834</v>
      </c>
      <c r="C351" s="40" t="s">
        <v>1806</v>
      </c>
      <c r="D351" s="75" t="s">
        <v>1269</v>
      </c>
      <c r="E351" s="75" t="s">
        <v>1266</v>
      </c>
      <c r="F351" s="75" t="s">
        <v>1268</v>
      </c>
      <c r="G351" s="75" t="s">
        <v>1267</v>
      </c>
    </row>
    <row r="352" spans="1:7" x14ac:dyDescent="0.2">
      <c r="A352" s="40">
        <v>2474</v>
      </c>
      <c r="B352" s="39" t="s">
        <v>1835</v>
      </c>
      <c r="C352" s="40" t="s">
        <v>1806</v>
      </c>
      <c r="D352" s="75" t="s">
        <v>1269</v>
      </c>
      <c r="E352" s="75" t="s">
        <v>1266</v>
      </c>
      <c r="F352" s="75" t="s">
        <v>1268</v>
      </c>
      <c r="G352" s="75" t="s">
        <v>1268</v>
      </c>
    </row>
    <row r="353" spans="1:7" x14ac:dyDescent="0.2">
      <c r="A353" s="40">
        <v>2475</v>
      </c>
      <c r="B353" s="39" t="s">
        <v>1836</v>
      </c>
      <c r="C353" s="40" t="s">
        <v>1806</v>
      </c>
      <c r="D353" s="75" t="s">
        <v>1269</v>
      </c>
      <c r="E353" s="75" t="s">
        <v>1266</v>
      </c>
      <c r="F353" s="75" t="s">
        <v>1268</v>
      </c>
      <c r="G353" s="75" t="s">
        <v>1267</v>
      </c>
    </row>
    <row r="354" spans="1:7" x14ac:dyDescent="0.2">
      <c r="A354" s="40">
        <v>2481</v>
      </c>
      <c r="B354" s="39" t="s">
        <v>1837</v>
      </c>
      <c r="C354" s="40" t="s">
        <v>1281</v>
      </c>
      <c r="D354" s="75" t="s">
        <v>1269</v>
      </c>
      <c r="E354" s="75" t="s">
        <v>1266</v>
      </c>
      <c r="F354" s="75" t="s">
        <v>1268</v>
      </c>
      <c r="G354" s="75" t="s">
        <v>1268</v>
      </c>
    </row>
    <row r="355" spans="1:7" x14ac:dyDescent="0.2">
      <c r="A355" s="40">
        <v>2482</v>
      </c>
      <c r="B355" s="39" t="s">
        <v>1838</v>
      </c>
      <c r="C355" s="40" t="s">
        <v>1281</v>
      </c>
      <c r="D355" s="75" t="s">
        <v>1269</v>
      </c>
      <c r="E355" s="75" t="s">
        <v>1266</v>
      </c>
      <c r="F355" s="75" t="s">
        <v>1268</v>
      </c>
      <c r="G355" s="75" t="s">
        <v>1268</v>
      </c>
    </row>
    <row r="356" spans="1:7" x14ac:dyDescent="0.2">
      <c r="A356" s="40">
        <v>2483</v>
      </c>
      <c r="B356" s="39" t="s">
        <v>1839</v>
      </c>
      <c r="C356" s="40" t="s">
        <v>1281</v>
      </c>
      <c r="D356" s="75" t="s">
        <v>1269</v>
      </c>
      <c r="E356" s="75" t="s">
        <v>1266</v>
      </c>
      <c r="F356" s="75" t="s">
        <v>1268</v>
      </c>
      <c r="G356" s="75" t="s">
        <v>1268</v>
      </c>
    </row>
    <row r="357" spans="1:7" x14ac:dyDescent="0.2">
      <c r="A357" s="40">
        <v>2485</v>
      </c>
      <c r="B357" s="39" t="s">
        <v>1840</v>
      </c>
      <c r="C357" s="40" t="s">
        <v>1281</v>
      </c>
      <c r="D357" s="75" t="s">
        <v>1269</v>
      </c>
      <c r="E357" s="75" t="s">
        <v>1266</v>
      </c>
      <c r="F357" s="75" t="s">
        <v>1268</v>
      </c>
      <c r="G357" s="75" t="s">
        <v>1268</v>
      </c>
    </row>
    <row r="358" spans="1:7" x14ac:dyDescent="0.2">
      <c r="A358" s="40">
        <v>2486</v>
      </c>
      <c r="B358" s="39" t="s">
        <v>1841</v>
      </c>
      <c r="C358" s="40" t="s">
        <v>1281</v>
      </c>
      <c r="D358" s="75" t="s">
        <v>1269</v>
      </c>
      <c r="E358" s="75" t="s">
        <v>1266</v>
      </c>
      <c r="F358" s="75" t="s">
        <v>1268</v>
      </c>
      <c r="G358" s="75" t="s">
        <v>1268</v>
      </c>
    </row>
    <row r="359" spans="1:7" x14ac:dyDescent="0.2">
      <c r="A359" s="40">
        <v>2490</v>
      </c>
      <c r="B359" s="39" t="s">
        <v>1842</v>
      </c>
      <c r="C359" s="40" t="s">
        <v>1281</v>
      </c>
      <c r="D359" s="75" t="s">
        <v>1269</v>
      </c>
      <c r="E359" s="75" t="s">
        <v>1266</v>
      </c>
      <c r="F359" s="75" t="s">
        <v>1268</v>
      </c>
      <c r="G359" s="75" t="s">
        <v>1268</v>
      </c>
    </row>
    <row r="360" spans="1:7" x14ac:dyDescent="0.2">
      <c r="A360" s="40">
        <v>2491</v>
      </c>
      <c r="B360" s="39" t="s">
        <v>1843</v>
      </c>
      <c r="C360" s="40" t="s">
        <v>1806</v>
      </c>
      <c r="D360" s="75" t="s">
        <v>1269</v>
      </c>
      <c r="E360" s="75" t="s">
        <v>1266</v>
      </c>
      <c r="F360" s="75" t="s">
        <v>1268</v>
      </c>
      <c r="G360" s="75" t="s">
        <v>1268</v>
      </c>
    </row>
    <row r="361" spans="1:7" x14ac:dyDescent="0.2">
      <c r="A361" s="40">
        <v>2492</v>
      </c>
      <c r="B361" s="39" t="s">
        <v>1844</v>
      </c>
      <c r="C361" s="40" t="s">
        <v>1281</v>
      </c>
      <c r="D361" s="75" t="s">
        <v>1269</v>
      </c>
      <c r="E361" s="75" t="s">
        <v>1266</v>
      </c>
      <c r="F361" s="75" t="s">
        <v>1268</v>
      </c>
      <c r="G361" s="75" t="s">
        <v>1267</v>
      </c>
    </row>
    <row r="362" spans="1:7" x14ac:dyDescent="0.2">
      <c r="A362" s="40">
        <v>2493</v>
      </c>
      <c r="B362" s="39" t="s">
        <v>1845</v>
      </c>
      <c r="C362" s="40" t="s">
        <v>1281</v>
      </c>
      <c r="D362" s="75" t="s">
        <v>1269</v>
      </c>
      <c r="E362" s="75" t="s">
        <v>1266</v>
      </c>
      <c r="F362" s="75" t="s">
        <v>1268</v>
      </c>
      <c r="G362" s="75" t="s">
        <v>1268</v>
      </c>
    </row>
    <row r="363" spans="1:7" x14ac:dyDescent="0.2">
      <c r="A363" s="40">
        <v>2500</v>
      </c>
      <c r="B363" s="39" t="s">
        <v>1846</v>
      </c>
      <c r="C363" s="40" t="s">
        <v>1281</v>
      </c>
      <c r="D363" s="75" t="s">
        <v>1269</v>
      </c>
      <c r="E363" s="75" t="s">
        <v>1266</v>
      </c>
      <c r="F363" s="75" t="s">
        <v>1268</v>
      </c>
      <c r="G363" s="75" t="s">
        <v>1268</v>
      </c>
    </row>
    <row r="364" spans="1:7" x14ac:dyDescent="0.2">
      <c r="A364" s="40">
        <v>2502</v>
      </c>
      <c r="B364" s="39" t="s">
        <v>1847</v>
      </c>
      <c r="C364" s="40" t="s">
        <v>1281</v>
      </c>
      <c r="D364" s="75" t="s">
        <v>1271</v>
      </c>
      <c r="E364" s="75" t="s">
        <v>1266</v>
      </c>
      <c r="F364" s="75" t="s">
        <v>1267</v>
      </c>
      <c r="G364" s="75" t="s">
        <v>1268</v>
      </c>
    </row>
    <row r="365" spans="1:7" x14ac:dyDescent="0.2">
      <c r="A365" s="40">
        <v>2511</v>
      </c>
      <c r="B365" s="39" t="s">
        <v>1848</v>
      </c>
      <c r="C365" s="40" t="s">
        <v>1281</v>
      </c>
      <c r="D365" s="75" t="s">
        <v>1269</v>
      </c>
      <c r="E365" s="75" t="s">
        <v>1266</v>
      </c>
      <c r="F365" s="75" t="s">
        <v>1268</v>
      </c>
      <c r="G365" s="75" t="s">
        <v>1268</v>
      </c>
    </row>
    <row r="366" spans="1:7" x14ac:dyDescent="0.2">
      <c r="A366" s="40">
        <v>2512</v>
      </c>
      <c r="B366" s="39" t="s">
        <v>1849</v>
      </c>
      <c r="C366" s="40" t="s">
        <v>1281</v>
      </c>
      <c r="D366" s="75" t="s">
        <v>1269</v>
      </c>
      <c r="E366" s="75" t="s">
        <v>1266</v>
      </c>
      <c r="F366" s="75" t="s">
        <v>1268</v>
      </c>
      <c r="G366" s="75" t="s">
        <v>1268</v>
      </c>
    </row>
    <row r="367" spans="1:7" x14ac:dyDescent="0.2">
      <c r="A367" s="40">
        <v>2513</v>
      </c>
      <c r="B367" s="39" t="s">
        <v>1850</v>
      </c>
      <c r="C367" s="40" t="s">
        <v>1281</v>
      </c>
      <c r="D367" s="75" t="s">
        <v>1271</v>
      </c>
      <c r="E367" s="75" t="s">
        <v>1266</v>
      </c>
      <c r="F367" s="75" t="s">
        <v>1267</v>
      </c>
      <c r="G367" s="75" t="s">
        <v>1268</v>
      </c>
    </row>
    <row r="368" spans="1:7" x14ac:dyDescent="0.2">
      <c r="A368" s="40">
        <v>2514</v>
      </c>
      <c r="B368" s="39" t="s">
        <v>1851</v>
      </c>
      <c r="C368" s="40" t="s">
        <v>1281</v>
      </c>
      <c r="D368" s="75" t="s">
        <v>1269</v>
      </c>
      <c r="E368" s="75" t="s">
        <v>1266</v>
      </c>
      <c r="F368" s="75" t="s">
        <v>1268</v>
      </c>
      <c r="G368" s="75" t="s">
        <v>1268</v>
      </c>
    </row>
    <row r="369" spans="1:7" x14ac:dyDescent="0.2">
      <c r="A369" s="40">
        <v>2521</v>
      </c>
      <c r="B369" s="39" t="s">
        <v>1852</v>
      </c>
      <c r="C369" s="40" t="s">
        <v>1281</v>
      </c>
      <c r="D369" s="75" t="s">
        <v>1269</v>
      </c>
      <c r="E369" s="75" t="s">
        <v>1266</v>
      </c>
      <c r="F369" s="75" t="s">
        <v>1268</v>
      </c>
      <c r="G369" s="75" t="s">
        <v>1268</v>
      </c>
    </row>
    <row r="370" spans="1:7" x14ac:dyDescent="0.2">
      <c r="A370" s="40">
        <v>2522</v>
      </c>
      <c r="B370" s="39" t="s">
        <v>1853</v>
      </c>
      <c r="C370" s="40" t="s">
        <v>1281</v>
      </c>
      <c r="D370" s="75" t="s">
        <v>1269</v>
      </c>
      <c r="E370" s="75" t="s">
        <v>1266</v>
      </c>
      <c r="F370" s="75" t="s">
        <v>1268</v>
      </c>
      <c r="G370" s="75" t="s">
        <v>1268</v>
      </c>
    </row>
    <row r="371" spans="1:7" x14ac:dyDescent="0.2">
      <c r="A371" s="40">
        <v>2523</v>
      </c>
      <c r="B371" s="39" t="s">
        <v>1854</v>
      </c>
      <c r="C371" s="40" t="s">
        <v>1281</v>
      </c>
      <c r="D371" s="75" t="s">
        <v>1269</v>
      </c>
      <c r="E371" s="75" t="s">
        <v>1266</v>
      </c>
      <c r="F371" s="75" t="s">
        <v>1268</v>
      </c>
      <c r="G371" s="75" t="s">
        <v>1268</v>
      </c>
    </row>
    <row r="372" spans="1:7" x14ac:dyDescent="0.2">
      <c r="A372" s="40">
        <v>2524</v>
      </c>
      <c r="B372" s="39" t="s">
        <v>1855</v>
      </c>
      <c r="C372" s="40" t="s">
        <v>1281</v>
      </c>
      <c r="D372" s="75" t="s">
        <v>1269</v>
      </c>
      <c r="E372" s="75" t="s">
        <v>1266</v>
      </c>
      <c r="F372" s="75" t="s">
        <v>1268</v>
      </c>
      <c r="G372" s="75" t="s">
        <v>1267</v>
      </c>
    </row>
    <row r="373" spans="1:7" x14ac:dyDescent="0.2">
      <c r="A373" s="40">
        <v>2525</v>
      </c>
      <c r="B373" s="39" t="s">
        <v>1856</v>
      </c>
      <c r="C373" s="40" t="s">
        <v>1281</v>
      </c>
      <c r="D373" s="75" t="s">
        <v>1269</v>
      </c>
      <c r="E373" s="75" t="s">
        <v>1266</v>
      </c>
      <c r="F373" s="75" t="s">
        <v>1268</v>
      </c>
      <c r="G373" s="75" t="s">
        <v>1268</v>
      </c>
    </row>
    <row r="374" spans="1:7" x14ac:dyDescent="0.2">
      <c r="A374" s="40">
        <v>2531</v>
      </c>
      <c r="B374" s="39" t="s">
        <v>1857</v>
      </c>
      <c r="C374" s="40" t="s">
        <v>1281</v>
      </c>
      <c r="D374" s="75" t="s">
        <v>1269</v>
      </c>
      <c r="E374" s="75" t="s">
        <v>1266</v>
      </c>
      <c r="F374" s="75" t="s">
        <v>1268</v>
      </c>
      <c r="G374" s="75" t="s">
        <v>1267</v>
      </c>
    </row>
    <row r="375" spans="1:7" x14ac:dyDescent="0.2">
      <c r="A375" s="40">
        <v>2532</v>
      </c>
      <c r="B375" s="39" t="s">
        <v>1858</v>
      </c>
      <c r="C375" s="40" t="s">
        <v>1281</v>
      </c>
      <c r="D375" s="75" t="s">
        <v>1269</v>
      </c>
      <c r="E375" s="75" t="s">
        <v>1266</v>
      </c>
      <c r="F375" s="75" t="s">
        <v>1268</v>
      </c>
      <c r="G375" s="75" t="s">
        <v>1268</v>
      </c>
    </row>
    <row r="376" spans="1:7" x14ac:dyDescent="0.2">
      <c r="A376" s="40">
        <v>2533</v>
      </c>
      <c r="B376" s="39" t="s">
        <v>1859</v>
      </c>
      <c r="C376" s="40" t="s">
        <v>1281</v>
      </c>
      <c r="D376" s="75" t="s">
        <v>1269</v>
      </c>
      <c r="E376" s="75" t="s">
        <v>1266</v>
      </c>
      <c r="F376" s="75" t="s">
        <v>1268</v>
      </c>
      <c r="G376" s="75" t="s">
        <v>1267</v>
      </c>
    </row>
    <row r="377" spans="1:7" x14ac:dyDescent="0.2">
      <c r="A377" s="40">
        <v>2534</v>
      </c>
      <c r="B377" s="39" t="s">
        <v>1860</v>
      </c>
      <c r="C377" s="40" t="s">
        <v>1281</v>
      </c>
      <c r="D377" s="75" t="s">
        <v>1269</v>
      </c>
      <c r="E377" s="75" t="s">
        <v>1266</v>
      </c>
      <c r="F377" s="75" t="s">
        <v>1268</v>
      </c>
      <c r="G377" s="75" t="s">
        <v>1268</v>
      </c>
    </row>
    <row r="378" spans="1:7" x14ac:dyDescent="0.2">
      <c r="A378" s="40">
        <v>2540</v>
      </c>
      <c r="B378" s="39" t="s">
        <v>1861</v>
      </c>
      <c r="C378" s="40" t="s">
        <v>1281</v>
      </c>
      <c r="D378" s="75" t="s">
        <v>1269</v>
      </c>
      <c r="E378" s="75" t="s">
        <v>1266</v>
      </c>
      <c r="F378" s="75" t="s">
        <v>1268</v>
      </c>
      <c r="G378" s="75" t="s">
        <v>1268</v>
      </c>
    </row>
    <row r="379" spans="1:7" x14ac:dyDescent="0.2">
      <c r="A379" s="40">
        <v>2542</v>
      </c>
      <c r="B379" s="39" t="s">
        <v>1862</v>
      </c>
      <c r="C379" s="40" t="s">
        <v>1281</v>
      </c>
      <c r="D379" s="75" t="s">
        <v>1269</v>
      </c>
      <c r="E379" s="75" t="s">
        <v>1266</v>
      </c>
      <c r="F379" s="75" t="s">
        <v>1268</v>
      </c>
      <c r="G379" s="75" t="s">
        <v>1268</v>
      </c>
    </row>
    <row r="380" spans="1:7" x14ac:dyDescent="0.2">
      <c r="A380" s="40">
        <v>2544</v>
      </c>
      <c r="B380" s="39" t="s">
        <v>1863</v>
      </c>
      <c r="C380" s="40" t="s">
        <v>1281</v>
      </c>
      <c r="D380" s="75" t="s">
        <v>1269</v>
      </c>
      <c r="E380" s="75" t="s">
        <v>1266</v>
      </c>
      <c r="F380" s="75" t="s">
        <v>1268</v>
      </c>
      <c r="G380" s="75" t="s">
        <v>1268</v>
      </c>
    </row>
    <row r="381" spans="1:7" x14ac:dyDescent="0.2">
      <c r="A381" s="40">
        <v>2551</v>
      </c>
      <c r="B381" s="39" t="s">
        <v>1864</v>
      </c>
      <c r="C381" s="40" t="s">
        <v>1281</v>
      </c>
      <c r="D381" s="75" t="s">
        <v>1269</v>
      </c>
      <c r="E381" s="75" t="s">
        <v>1266</v>
      </c>
      <c r="F381" s="75" t="s">
        <v>1268</v>
      </c>
      <c r="G381" s="75" t="s">
        <v>1268</v>
      </c>
    </row>
    <row r="382" spans="1:7" x14ac:dyDescent="0.2">
      <c r="A382" s="40">
        <v>2552</v>
      </c>
      <c r="B382" s="39" t="s">
        <v>1865</v>
      </c>
      <c r="C382" s="40" t="s">
        <v>1281</v>
      </c>
      <c r="D382" s="75" t="s">
        <v>1269</v>
      </c>
      <c r="E382" s="75" t="s">
        <v>1266</v>
      </c>
      <c r="F382" s="75" t="s">
        <v>1268</v>
      </c>
      <c r="G382" s="75" t="s">
        <v>1268</v>
      </c>
    </row>
    <row r="383" spans="1:7" x14ac:dyDescent="0.2">
      <c r="A383" s="40">
        <v>2560</v>
      </c>
      <c r="B383" s="39" t="s">
        <v>1866</v>
      </c>
      <c r="C383" s="40" t="s">
        <v>1281</v>
      </c>
      <c r="D383" s="75" t="s">
        <v>1269</v>
      </c>
      <c r="E383" s="75" t="s">
        <v>1266</v>
      </c>
      <c r="F383" s="75" t="s">
        <v>1268</v>
      </c>
      <c r="G383" s="75" t="s">
        <v>1268</v>
      </c>
    </row>
    <row r="384" spans="1:7" x14ac:dyDescent="0.2">
      <c r="A384" s="40">
        <v>2562</v>
      </c>
      <c r="B384" s="39" t="s">
        <v>1867</v>
      </c>
      <c r="C384" s="40" t="s">
        <v>1281</v>
      </c>
      <c r="D384" s="75" t="s">
        <v>1271</v>
      </c>
      <c r="E384" s="75" t="s">
        <v>1266</v>
      </c>
      <c r="F384" s="75" t="s">
        <v>1267</v>
      </c>
      <c r="G384" s="75" t="s">
        <v>1268</v>
      </c>
    </row>
    <row r="385" spans="1:7" x14ac:dyDescent="0.2">
      <c r="A385" s="40">
        <v>2563</v>
      </c>
      <c r="B385" s="39" t="s">
        <v>1868</v>
      </c>
      <c r="C385" s="40" t="s">
        <v>1281</v>
      </c>
      <c r="D385" s="75" t="s">
        <v>1269</v>
      </c>
      <c r="E385" s="75" t="s">
        <v>1266</v>
      </c>
      <c r="F385" s="75" t="s">
        <v>1268</v>
      </c>
      <c r="G385" s="75" t="s">
        <v>1268</v>
      </c>
    </row>
    <row r="386" spans="1:7" x14ac:dyDescent="0.2">
      <c r="A386" s="40">
        <v>2564</v>
      </c>
      <c r="B386" s="39" t="s">
        <v>1869</v>
      </c>
      <c r="C386" s="40" t="s">
        <v>1281</v>
      </c>
      <c r="D386" s="75" t="s">
        <v>1269</v>
      </c>
      <c r="E386" s="75" t="s">
        <v>1266</v>
      </c>
      <c r="F386" s="75" t="s">
        <v>1268</v>
      </c>
      <c r="G386" s="75" t="s">
        <v>1268</v>
      </c>
    </row>
    <row r="387" spans="1:7" x14ac:dyDescent="0.2">
      <c r="A387" s="40">
        <v>2565</v>
      </c>
      <c r="B387" s="39" t="s">
        <v>1870</v>
      </c>
      <c r="C387" s="40" t="s">
        <v>1281</v>
      </c>
      <c r="D387" s="75" t="s">
        <v>1269</v>
      </c>
      <c r="E387" s="75" t="s">
        <v>1266</v>
      </c>
      <c r="F387" s="75" t="s">
        <v>1268</v>
      </c>
      <c r="G387" s="75" t="s">
        <v>1267</v>
      </c>
    </row>
    <row r="388" spans="1:7" x14ac:dyDescent="0.2">
      <c r="A388" s="40">
        <v>2571</v>
      </c>
      <c r="B388" s="39" t="s">
        <v>1871</v>
      </c>
      <c r="C388" s="40" t="s">
        <v>1281</v>
      </c>
      <c r="D388" s="75" t="s">
        <v>1269</v>
      </c>
      <c r="E388" s="75" t="s">
        <v>1266</v>
      </c>
      <c r="F388" s="75" t="s">
        <v>1268</v>
      </c>
      <c r="G388" s="75" t="s">
        <v>1268</v>
      </c>
    </row>
    <row r="389" spans="1:7" x14ac:dyDescent="0.2">
      <c r="A389" s="40">
        <v>2572</v>
      </c>
      <c r="B389" s="39" t="s">
        <v>1872</v>
      </c>
      <c r="C389" s="40" t="s">
        <v>1281</v>
      </c>
      <c r="D389" s="75" t="s">
        <v>1269</v>
      </c>
      <c r="E389" s="75" t="s">
        <v>1266</v>
      </c>
      <c r="F389" s="75" t="s">
        <v>1268</v>
      </c>
      <c r="G389" s="75" t="s">
        <v>1267</v>
      </c>
    </row>
    <row r="390" spans="1:7" x14ac:dyDescent="0.2">
      <c r="A390" s="40">
        <v>2601</v>
      </c>
      <c r="B390" s="39" t="s">
        <v>1873</v>
      </c>
      <c r="C390" s="40" t="s">
        <v>1281</v>
      </c>
      <c r="D390" s="75" t="s">
        <v>1269</v>
      </c>
      <c r="E390" s="75" t="s">
        <v>1266</v>
      </c>
      <c r="F390" s="75" t="s">
        <v>1268</v>
      </c>
      <c r="G390" s="75" t="s">
        <v>1268</v>
      </c>
    </row>
    <row r="391" spans="1:7" x14ac:dyDescent="0.2">
      <c r="A391" s="40">
        <v>2602</v>
      </c>
      <c r="B391" s="39" t="s">
        <v>1874</v>
      </c>
      <c r="C391" s="40" t="s">
        <v>1281</v>
      </c>
      <c r="D391" s="75" t="s">
        <v>1269</v>
      </c>
      <c r="E391" s="75" t="s">
        <v>1266</v>
      </c>
      <c r="F391" s="75" t="s">
        <v>1268</v>
      </c>
      <c r="G391" s="75" t="s">
        <v>1267</v>
      </c>
    </row>
    <row r="392" spans="1:7" x14ac:dyDescent="0.2">
      <c r="A392" s="40">
        <v>2603</v>
      </c>
      <c r="B392" s="39" t="s">
        <v>1875</v>
      </c>
      <c r="C392" s="40" t="s">
        <v>1281</v>
      </c>
      <c r="D392" s="75" t="s">
        <v>1269</v>
      </c>
      <c r="E392" s="75" t="s">
        <v>1266</v>
      </c>
      <c r="F392" s="75" t="s">
        <v>1268</v>
      </c>
      <c r="G392" s="75" t="s">
        <v>1268</v>
      </c>
    </row>
    <row r="393" spans="1:7" x14ac:dyDescent="0.2">
      <c r="A393" s="40">
        <v>2604</v>
      </c>
      <c r="B393" s="39" t="s">
        <v>1876</v>
      </c>
      <c r="C393" s="40" t="s">
        <v>1281</v>
      </c>
      <c r="D393" s="75" t="s">
        <v>1269</v>
      </c>
      <c r="E393" s="75" t="s">
        <v>1266</v>
      </c>
      <c r="F393" s="75" t="s">
        <v>1268</v>
      </c>
      <c r="G393" s="75" t="s">
        <v>1268</v>
      </c>
    </row>
    <row r="394" spans="1:7" x14ac:dyDescent="0.2">
      <c r="A394" s="40">
        <v>2620</v>
      </c>
      <c r="B394" s="39" t="s">
        <v>1877</v>
      </c>
      <c r="C394" s="40" t="s">
        <v>1281</v>
      </c>
      <c r="D394" s="75" t="s">
        <v>1269</v>
      </c>
      <c r="E394" s="75" t="s">
        <v>1266</v>
      </c>
      <c r="F394" s="75" t="s">
        <v>1268</v>
      </c>
      <c r="G394" s="75" t="s">
        <v>1268</v>
      </c>
    </row>
    <row r="395" spans="1:7" x14ac:dyDescent="0.2">
      <c r="A395" s="40">
        <v>2622</v>
      </c>
      <c r="B395" s="39" t="s">
        <v>1878</v>
      </c>
      <c r="C395" s="40" t="s">
        <v>1281</v>
      </c>
      <c r="D395" s="75" t="s">
        <v>1271</v>
      </c>
      <c r="E395" s="75" t="s">
        <v>1266</v>
      </c>
      <c r="F395" s="75" t="s">
        <v>1267</v>
      </c>
      <c r="G395" s="75" t="s">
        <v>1268</v>
      </c>
    </row>
    <row r="396" spans="1:7" x14ac:dyDescent="0.2">
      <c r="A396" s="40">
        <v>2624</v>
      </c>
      <c r="B396" s="39" t="s">
        <v>1879</v>
      </c>
      <c r="C396" s="40" t="s">
        <v>1281</v>
      </c>
      <c r="D396" s="75" t="s">
        <v>1269</v>
      </c>
      <c r="E396" s="75" t="s">
        <v>1266</v>
      </c>
      <c r="F396" s="75" t="s">
        <v>1268</v>
      </c>
      <c r="G396" s="75" t="s">
        <v>1267</v>
      </c>
    </row>
    <row r="397" spans="1:7" x14ac:dyDescent="0.2">
      <c r="A397" s="40">
        <v>2625</v>
      </c>
      <c r="B397" s="39" t="s">
        <v>1880</v>
      </c>
      <c r="C397" s="40" t="s">
        <v>1281</v>
      </c>
      <c r="D397" s="75" t="s">
        <v>1269</v>
      </c>
      <c r="E397" s="75" t="s">
        <v>1266</v>
      </c>
      <c r="F397" s="75" t="s">
        <v>1268</v>
      </c>
      <c r="G397" s="75" t="s">
        <v>1267</v>
      </c>
    </row>
    <row r="398" spans="1:7" x14ac:dyDescent="0.2">
      <c r="A398" s="40">
        <v>2630</v>
      </c>
      <c r="B398" s="39" t="s">
        <v>1881</v>
      </c>
      <c r="C398" s="40" t="s">
        <v>1281</v>
      </c>
      <c r="D398" s="75" t="s">
        <v>1269</v>
      </c>
      <c r="E398" s="75" t="s">
        <v>1266</v>
      </c>
      <c r="F398" s="75" t="s">
        <v>1268</v>
      </c>
      <c r="G398" s="75" t="s">
        <v>1268</v>
      </c>
    </row>
    <row r="399" spans="1:7" x14ac:dyDescent="0.2">
      <c r="A399" s="40">
        <v>2631</v>
      </c>
      <c r="B399" s="39" t="s">
        <v>1882</v>
      </c>
      <c r="C399" s="40" t="s">
        <v>1281</v>
      </c>
      <c r="D399" s="75" t="s">
        <v>1269</v>
      </c>
      <c r="E399" s="75" t="s">
        <v>1266</v>
      </c>
      <c r="F399" s="75" t="s">
        <v>1268</v>
      </c>
      <c r="G399" s="75" t="s">
        <v>1267</v>
      </c>
    </row>
    <row r="400" spans="1:7" x14ac:dyDescent="0.2">
      <c r="A400" s="40">
        <v>2632</v>
      </c>
      <c r="B400" s="39" t="s">
        <v>1883</v>
      </c>
      <c r="C400" s="40" t="s">
        <v>1281</v>
      </c>
      <c r="D400" s="75" t="s">
        <v>1269</v>
      </c>
      <c r="E400" s="75" t="s">
        <v>1266</v>
      </c>
      <c r="F400" s="75" t="s">
        <v>1268</v>
      </c>
      <c r="G400" s="75" t="s">
        <v>1268</v>
      </c>
    </row>
    <row r="401" spans="1:7" x14ac:dyDescent="0.2">
      <c r="A401" s="40">
        <v>2640</v>
      </c>
      <c r="B401" s="39" t="s">
        <v>1884</v>
      </c>
      <c r="C401" s="40" t="s">
        <v>1281</v>
      </c>
      <c r="D401" s="75" t="s">
        <v>1269</v>
      </c>
      <c r="E401" s="75" t="s">
        <v>1266</v>
      </c>
      <c r="F401" s="75" t="s">
        <v>1268</v>
      </c>
      <c r="G401" s="75" t="s">
        <v>1268</v>
      </c>
    </row>
    <row r="402" spans="1:7" x14ac:dyDescent="0.2">
      <c r="A402" s="40">
        <v>2641</v>
      </c>
      <c r="B402" s="39" t="s">
        <v>1885</v>
      </c>
      <c r="C402" s="40" t="s">
        <v>1281</v>
      </c>
      <c r="D402" s="75" t="s">
        <v>1269</v>
      </c>
      <c r="E402" s="75" t="s">
        <v>1266</v>
      </c>
      <c r="F402" s="75" t="s">
        <v>1268</v>
      </c>
      <c r="G402" s="75" t="s">
        <v>1267</v>
      </c>
    </row>
    <row r="403" spans="1:7" x14ac:dyDescent="0.2">
      <c r="A403" s="40">
        <v>2642</v>
      </c>
      <c r="B403" s="39" t="s">
        <v>1886</v>
      </c>
      <c r="C403" s="40" t="s">
        <v>1281</v>
      </c>
      <c r="D403" s="75" t="s">
        <v>1269</v>
      </c>
      <c r="E403" s="75" t="s">
        <v>1266</v>
      </c>
      <c r="F403" s="75" t="s">
        <v>1268</v>
      </c>
      <c r="G403" s="75" t="s">
        <v>1267</v>
      </c>
    </row>
    <row r="404" spans="1:7" x14ac:dyDescent="0.2">
      <c r="A404" s="40">
        <v>2650</v>
      </c>
      <c r="B404" s="39" t="s">
        <v>1887</v>
      </c>
      <c r="C404" s="40" t="s">
        <v>1281</v>
      </c>
      <c r="D404" s="75" t="s">
        <v>1269</v>
      </c>
      <c r="E404" s="75" t="s">
        <v>1266</v>
      </c>
      <c r="F404" s="75" t="s">
        <v>1268</v>
      </c>
      <c r="G404" s="75" t="s">
        <v>1268</v>
      </c>
    </row>
    <row r="405" spans="1:7" x14ac:dyDescent="0.2">
      <c r="A405" s="40">
        <v>2651</v>
      </c>
      <c r="B405" s="39" t="s">
        <v>1888</v>
      </c>
      <c r="C405" s="40" t="s">
        <v>1281</v>
      </c>
      <c r="D405" s="75" t="s">
        <v>1269</v>
      </c>
      <c r="E405" s="75" t="s">
        <v>1266</v>
      </c>
      <c r="F405" s="75" t="s">
        <v>1268</v>
      </c>
      <c r="G405" s="75" t="s">
        <v>1268</v>
      </c>
    </row>
    <row r="406" spans="1:7" x14ac:dyDescent="0.2">
      <c r="A406" s="40">
        <v>2654</v>
      </c>
      <c r="B406" s="39" t="s">
        <v>1889</v>
      </c>
      <c r="C406" s="40" t="s">
        <v>1281</v>
      </c>
      <c r="D406" s="75" t="s">
        <v>1269</v>
      </c>
      <c r="E406" s="75" t="s">
        <v>1266</v>
      </c>
      <c r="F406" s="75" t="s">
        <v>1268</v>
      </c>
      <c r="G406" s="75" t="s">
        <v>1267</v>
      </c>
    </row>
    <row r="407" spans="1:7" x14ac:dyDescent="0.2">
      <c r="A407" s="40">
        <v>2661</v>
      </c>
      <c r="B407" s="39" t="s">
        <v>1890</v>
      </c>
      <c r="C407" s="40" t="s">
        <v>1281</v>
      </c>
      <c r="D407" s="75" t="s">
        <v>1269</v>
      </c>
      <c r="E407" s="75" t="s">
        <v>1266</v>
      </c>
      <c r="F407" s="75" t="s">
        <v>1268</v>
      </c>
      <c r="G407" s="75" t="s">
        <v>1267</v>
      </c>
    </row>
    <row r="408" spans="1:7" x14ac:dyDescent="0.2">
      <c r="A408" s="40">
        <v>2662</v>
      </c>
      <c r="B408" s="39" t="s">
        <v>1891</v>
      </c>
      <c r="C408" s="40" t="s">
        <v>1281</v>
      </c>
      <c r="D408" s="75" t="s">
        <v>1269</v>
      </c>
      <c r="E408" s="75" t="s">
        <v>1266</v>
      </c>
      <c r="F408" s="75" t="s">
        <v>1268</v>
      </c>
      <c r="G408" s="75" t="s">
        <v>1267</v>
      </c>
    </row>
    <row r="409" spans="1:7" x14ac:dyDescent="0.2">
      <c r="A409" s="40">
        <v>2663</v>
      </c>
      <c r="B409" s="39" t="s">
        <v>1892</v>
      </c>
      <c r="C409" s="40" t="s">
        <v>1281</v>
      </c>
      <c r="D409" s="75" t="s">
        <v>1269</v>
      </c>
      <c r="E409" s="75" t="s">
        <v>1266</v>
      </c>
      <c r="F409" s="75" t="s">
        <v>1268</v>
      </c>
      <c r="G409" s="75" t="s">
        <v>1267</v>
      </c>
    </row>
    <row r="410" spans="1:7" x14ac:dyDescent="0.2">
      <c r="A410" s="40">
        <v>2671</v>
      </c>
      <c r="B410" s="39" t="s">
        <v>1893</v>
      </c>
      <c r="C410" s="40" t="s">
        <v>1281</v>
      </c>
      <c r="D410" s="75" t="s">
        <v>1269</v>
      </c>
      <c r="E410" s="75" t="s">
        <v>1266</v>
      </c>
      <c r="F410" s="75" t="s">
        <v>1268</v>
      </c>
      <c r="G410" s="75" t="s">
        <v>1267</v>
      </c>
    </row>
    <row r="411" spans="1:7" x14ac:dyDescent="0.2">
      <c r="A411" s="40">
        <v>2673</v>
      </c>
      <c r="B411" s="39" t="s">
        <v>1894</v>
      </c>
      <c r="C411" s="40" t="s">
        <v>1281</v>
      </c>
      <c r="D411" s="75" t="s">
        <v>1269</v>
      </c>
      <c r="E411" s="75" t="s">
        <v>1266</v>
      </c>
      <c r="F411" s="75" t="s">
        <v>1268</v>
      </c>
      <c r="G411" s="75" t="s">
        <v>1267</v>
      </c>
    </row>
    <row r="412" spans="1:7" x14ac:dyDescent="0.2">
      <c r="A412" s="40">
        <v>2680</v>
      </c>
      <c r="B412" s="39" t="s">
        <v>1895</v>
      </c>
      <c r="C412" s="40" t="s">
        <v>1281</v>
      </c>
      <c r="D412" s="75" t="s">
        <v>1269</v>
      </c>
      <c r="E412" s="75" t="s">
        <v>1266</v>
      </c>
      <c r="F412" s="75" t="s">
        <v>1268</v>
      </c>
      <c r="G412" s="75" t="s">
        <v>1267</v>
      </c>
    </row>
    <row r="413" spans="1:7" x14ac:dyDescent="0.2">
      <c r="A413" s="40">
        <v>2700</v>
      </c>
      <c r="B413" s="39" t="s">
        <v>1246</v>
      </c>
      <c r="C413" s="40" t="s">
        <v>1281</v>
      </c>
      <c r="D413" s="75" t="s">
        <v>1269</v>
      </c>
      <c r="E413" s="75" t="s">
        <v>1266</v>
      </c>
      <c r="F413" s="75" t="s">
        <v>1268</v>
      </c>
      <c r="G413" s="75" t="s">
        <v>1268</v>
      </c>
    </row>
    <row r="414" spans="1:7" x14ac:dyDescent="0.2">
      <c r="A414" s="40">
        <v>2702</v>
      </c>
      <c r="B414" s="39" t="s">
        <v>1246</v>
      </c>
      <c r="C414" s="40" t="s">
        <v>1281</v>
      </c>
      <c r="D414" s="75" t="s">
        <v>1271</v>
      </c>
      <c r="E414" s="75" t="s">
        <v>1266</v>
      </c>
      <c r="F414" s="75" t="s">
        <v>1267</v>
      </c>
      <c r="G414" s="75" t="s">
        <v>1268</v>
      </c>
    </row>
    <row r="415" spans="1:7" x14ac:dyDescent="0.2">
      <c r="A415" s="40">
        <v>2704</v>
      </c>
      <c r="B415" s="39" t="s">
        <v>1246</v>
      </c>
      <c r="C415" s="40" t="s">
        <v>1281</v>
      </c>
      <c r="D415" s="75" t="s">
        <v>1271</v>
      </c>
      <c r="E415" s="75" t="s">
        <v>1266</v>
      </c>
      <c r="F415" s="75" t="s">
        <v>1267</v>
      </c>
      <c r="G415" s="75" t="s">
        <v>1268</v>
      </c>
    </row>
    <row r="416" spans="1:7" x14ac:dyDescent="0.2">
      <c r="A416" s="40">
        <v>2705</v>
      </c>
      <c r="B416" s="39" t="s">
        <v>1246</v>
      </c>
      <c r="C416" s="40" t="s">
        <v>1281</v>
      </c>
      <c r="D416" s="75" t="s">
        <v>1271</v>
      </c>
      <c r="E416" s="75" t="s">
        <v>1266</v>
      </c>
      <c r="F416" s="75" t="s">
        <v>1267</v>
      </c>
      <c r="G416" s="75" t="s">
        <v>1268</v>
      </c>
    </row>
    <row r="417" spans="1:7" x14ac:dyDescent="0.2">
      <c r="A417" s="40">
        <v>2706</v>
      </c>
      <c r="B417" s="39" t="s">
        <v>1246</v>
      </c>
      <c r="C417" s="40" t="s">
        <v>1281</v>
      </c>
      <c r="D417" s="75" t="s">
        <v>1265</v>
      </c>
      <c r="E417" s="75" t="s">
        <v>1266</v>
      </c>
      <c r="F417" s="75" t="s">
        <v>1267</v>
      </c>
      <c r="G417" s="75" t="s">
        <v>1268</v>
      </c>
    </row>
    <row r="418" spans="1:7" x14ac:dyDescent="0.2">
      <c r="A418" s="40">
        <v>2721</v>
      </c>
      <c r="B418" s="39" t="s">
        <v>1896</v>
      </c>
      <c r="C418" s="40" t="s">
        <v>1281</v>
      </c>
      <c r="D418" s="75" t="s">
        <v>1269</v>
      </c>
      <c r="E418" s="75" t="s">
        <v>1266</v>
      </c>
      <c r="F418" s="75" t="s">
        <v>1268</v>
      </c>
      <c r="G418" s="75" t="s">
        <v>1268</v>
      </c>
    </row>
    <row r="419" spans="1:7" x14ac:dyDescent="0.2">
      <c r="A419" s="40">
        <v>2722</v>
      </c>
      <c r="B419" s="39" t="s">
        <v>1897</v>
      </c>
      <c r="C419" s="40" t="s">
        <v>1281</v>
      </c>
      <c r="D419" s="75" t="s">
        <v>1269</v>
      </c>
      <c r="E419" s="75" t="s">
        <v>1266</v>
      </c>
      <c r="F419" s="75" t="s">
        <v>1268</v>
      </c>
      <c r="G419" s="75" t="s">
        <v>1268</v>
      </c>
    </row>
    <row r="420" spans="1:7" x14ac:dyDescent="0.2">
      <c r="A420" s="40">
        <v>2723</v>
      </c>
      <c r="B420" s="39" t="s">
        <v>1898</v>
      </c>
      <c r="C420" s="40" t="s">
        <v>1281</v>
      </c>
      <c r="D420" s="75" t="s">
        <v>1269</v>
      </c>
      <c r="E420" s="75" t="s">
        <v>1266</v>
      </c>
      <c r="F420" s="75" t="s">
        <v>1268</v>
      </c>
      <c r="G420" s="75" t="s">
        <v>1267</v>
      </c>
    </row>
    <row r="421" spans="1:7" x14ac:dyDescent="0.2">
      <c r="A421" s="40">
        <v>2724</v>
      </c>
      <c r="B421" s="39" t="s">
        <v>1899</v>
      </c>
      <c r="C421" s="40" t="s">
        <v>1281</v>
      </c>
      <c r="D421" s="75" t="s">
        <v>1269</v>
      </c>
      <c r="E421" s="75" t="s">
        <v>1266</v>
      </c>
      <c r="F421" s="75" t="s">
        <v>1268</v>
      </c>
      <c r="G421" s="75" t="s">
        <v>1267</v>
      </c>
    </row>
    <row r="422" spans="1:7" x14ac:dyDescent="0.2">
      <c r="A422" s="40">
        <v>2731</v>
      </c>
      <c r="B422" s="39" t="s">
        <v>1900</v>
      </c>
      <c r="C422" s="40" t="s">
        <v>1281</v>
      </c>
      <c r="D422" s="75" t="s">
        <v>1269</v>
      </c>
      <c r="E422" s="75" t="s">
        <v>1266</v>
      </c>
      <c r="F422" s="75" t="s">
        <v>1268</v>
      </c>
      <c r="G422" s="75" t="s">
        <v>1267</v>
      </c>
    </row>
    <row r="423" spans="1:7" x14ac:dyDescent="0.2">
      <c r="A423" s="40">
        <v>2732</v>
      </c>
      <c r="B423" s="39" t="s">
        <v>1901</v>
      </c>
      <c r="C423" s="40" t="s">
        <v>1281</v>
      </c>
      <c r="D423" s="75" t="s">
        <v>1269</v>
      </c>
      <c r="E423" s="75" t="s">
        <v>1266</v>
      </c>
      <c r="F423" s="75" t="s">
        <v>1268</v>
      </c>
      <c r="G423" s="75" t="s">
        <v>1268</v>
      </c>
    </row>
    <row r="424" spans="1:7" x14ac:dyDescent="0.2">
      <c r="A424" s="40">
        <v>2733</v>
      </c>
      <c r="B424" s="39" t="s">
        <v>1902</v>
      </c>
      <c r="C424" s="40" t="s">
        <v>1281</v>
      </c>
      <c r="D424" s="75" t="s">
        <v>1269</v>
      </c>
      <c r="E424" s="75" t="s">
        <v>1266</v>
      </c>
      <c r="F424" s="75" t="s">
        <v>1268</v>
      </c>
      <c r="G424" s="75" t="s">
        <v>1268</v>
      </c>
    </row>
    <row r="425" spans="1:7" x14ac:dyDescent="0.2">
      <c r="A425" s="40">
        <v>2734</v>
      </c>
      <c r="B425" s="39" t="s">
        <v>1903</v>
      </c>
      <c r="C425" s="40" t="s">
        <v>1281</v>
      </c>
      <c r="D425" s="75" t="s">
        <v>1269</v>
      </c>
      <c r="E425" s="75" t="s">
        <v>1266</v>
      </c>
      <c r="F425" s="75" t="s">
        <v>1268</v>
      </c>
      <c r="G425" s="75" t="s">
        <v>1268</v>
      </c>
    </row>
    <row r="426" spans="1:7" x14ac:dyDescent="0.2">
      <c r="A426" s="40">
        <v>2751</v>
      </c>
      <c r="B426" s="39" t="s">
        <v>1904</v>
      </c>
      <c r="C426" s="40" t="s">
        <v>1281</v>
      </c>
      <c r="D426" s="75" t="s">
        <v>1269</v>
      </c>
      <c r="E426" s="75" t="s">
        <v>1266</v>
      </c>
      <c r="F426" s="75" t="s">
        <v>1268</v>
      </c>
      <c r="G426" s="75" t="s">
        <v>1268</v>
      </c>
    </row>
    <row r="427" spans="1:7" x14ac:dyDescent="0.2">
      <c r="A427" s="40">
        <v>2752</v>
      </c>
      <c r="B427" s="39" t="s">
        <v>1905</v>
      </c>
      <c r="C427" s="40" t="s">
        <v>1281</v>
      </c>
      <c r="D427" s="75" t="s">
        <v>1269</v>
      </c>
      <c r="E427" s="75" t="s">
        <v>1266</v>
      </c>
      <c r="F427" s="75" t="s">
        <v>1268</v>
      </c>
      <c r="G427" s="75" t="s">
        <v>1268</v>
      </c>
    </row>
    <row r="428" spans="1:7" x14ac:dyDescent="0.2">
      <c r="A428" s="40">
        <v>2753</v>
      </c>
      <c r="B428" s="39" t="s">
        <v>1906</v>
      </c>
      <c r="C428" s="40" t="s">
        <v>1281</v>
      </c>
      <c r="D428" s="75" t="s">
        <v>1269</v>
      </c>
      <c r="E428" s="75" t="s">
        <v>1266</v>
      </c>
      <c r="F428" s="75" t="s">
        <v>1268</v>
      </c>
      <c r="G428" s="75" t="s">
        <v>1268</v>
      </c>
    </row>
    <row r="429" spans="1:7" x14ac:dyDescent="0.2">
      <c r="A429" s="40">
        <v>2754</v>
      </c>
      <c r="B429" s="39" t="s">
        <v>1907</v>
      </c>
      <c r="C429" s="40" t="s">
        <v>1281</v>
      </c>
      <c r="D429" s="75" t="s">
        <v>1269</v>
      </c>
      <c r="E429" s="75" t="s">
        <v>1266</v>
      </c>
      <c r="F429" s="75" t="s">
        <v>1268</v>
      </c>
      <c r="G429" s="75" t="s">
        <v>1268</v>
      </c>
    </row>
    <row r="430" spans="1:7" x14ac:dyDescent="0.2">
      <c r="A430" s="40">
        <v>2755</v>
      </c>
      <c r="B430" s="39" t="s">
        <v>1908</v>
      </c>
      <c r="C430" s="40" t="s">
        <v>1281</v>
      </c>
      <c r="D430" s="75" t="s">
        <v>1269</v>
      </c>
      <c r="E430" s="75" t="s">
        <v>1266</v>
      </c>
      <c r="F430" s="75" t="s">
        <v>1268</v>
      </c>
      <c r="G430" s="75" t="s">
        <v>1267</v>
      </c>
    </row>
    <row r="431" spans="1:7" x14ac:dyDescent="0.2">
      <c r="A431" s="40">
        <v>2761</v>
      </c>
      <c r="B431" s="39" t="s">
        <v>1909</v>
      </c>
      <c r="C431" s="40" t="s">
        <v>1281</v>
      </c>
      <c r="D431" s="75" t="s">
        <v>1269</v>
      </c>
      <c r="E431" s="75" t="s">
        <v>1266</v>
      </c>
      <c r="F431" s="75" t="s">
        <v>1268</v>
      </c>
      <c r="G431" s="75" t="s">
        <v>1267</v>
      </c>
    </row>
    <row r="432" spans="1:7" x14ac:dyDescent="0.2">
      <c r="A432" s="40">
        <v>2763</v>
      </c>
      <c r="B432" s="39" t="s">
        <v>1910</v>
      </c>
      <c r="C432" s="40" t="s">
        <v>1281</v>
      </c>
      <c r="D432" s="75" t="s">
        <v>1269</v>
      </c>
      <c r="E432" s="75" t="s">
        <v>1266</v>
      </c>
      <c r="F432" s="75" t="s">
        <v>1268</v>
      </c>
      <c r="G432" s="75" t="s">
        <v>1268</v>
      </c>
    </row>
    <row r="433" spans="1:7" x14ac:dyDescent="0.2">
      <c r="A433" s="40">
        <v>2770</v>
      </c>
      <c r="B433" s="39" t="s">
        <v>1911</v>
      </c>
      <c r="C433" s="40" t="s">
        <v>1281</v>
      </c>
      <c r="D433" s="75" t="s">
        <v>1269</v>
      </c>
      <c r="E433" s="75" t="s">
        <v>1266</v>
      </c>
      <c r="F433" s="75" t="s">
        <v>1268</v>
      </c>
      <c r="G433" s="75" t="s">
        <v>1267</v>
      </c>
    </row>
    <row r="434" spans="1:7" x14ac:dyDescent="0.2">
      <c r="A434" s="40">
        <v>2801</v>
      </c>
      <c r="B434" s="39" t="s">
        <v>1912</v>
      </c>
      <c r="C434" s="40" t="s">
        <v>1281</v>
      </c>
      <c r="D434" s="75" t="s">
        <v>1269</v>
      </c>
      <c r="E434" s="75" t="s">
        <v>1266</v>
      </c>
      <c r="F434" s="75" t="s">
        <v>1268</v>
      </c>
      <c r="G434" s="75" t="s">
        <v>1267</v>
      </c>
    </row>
    <row r="435" spans="1:7" x14ac:dyDescent="0.2">
      <c r="A435" s="40">
        <v>2802</v>
      </c>
      <c r="B435" s="39" t="s">
        <v>1913</v>
      </c>
      <c r="C435" s="40" t="s">
        <v>1281</v>
      </c>
      <c r="D435" s="75" t="s">
        <v>1269</v>
      </c>
      <c r="E435" s="75" t="s">
        <v>1266</v>
      </c>
      <c r="F435" s="75" t="s">
        <v>1268</v>
      </c>
      <c r="G435" s="75" t="s">
        <v>1267</v>
      </c>
    </row>
    <row r="436" spans="1:7" x14ac:dyDescent="0.2">
      <c r="A436" s="40">
        <v>2803</v>
      </c>
      <c r="B436" s="39" t="s">
        <v>1914</v>
      </c>
      <c r="C436" s="40" t="s">
        <v>1281</v>
      </c>
      <c r="D436" s="75" t="s">
        <v>1269</v>
      </c>
      <c r="E436" s="75" t="s">
        <v>1266</v>
      </c>
      <c r="F436" s="75" t="s">
        <v>1268</v>
      </c>
      <c r="G436" s="75" t="s">
        <v>1267</v>
      </c>
    </row>
    <row r="437" spans="1:7" x14ac:dyDescent="0.2">
      <c r="A437" s="40">
        <v>2811</v>
      </c>
      <c r="B437" s="39" t="s">
        <v>1915</v>
      </c>
      <c r="C437" s="40" t="s">
        <v>1281</v>
      </c>
      <c r="D437" s="75" t="s">
        <v>1269</v>
      </c>
      <c r="E437" s="75" t="s">
        <v>1266</v>
      </c>
      <c r="F437" s="75" t="s">
        <v>1268</v>
      </c>
      <c r="G437" s="75" t="s">
        <v>1268</v>
      </c>
    </row>
    <row r="438" spans="1:7" x14ac:dyDescent="0.2">
      <c r="A438" s="40">
        <v>2812</v>
      </c>
      <c r="B438" s="39" t="s">
        <v>1916</v>
      </c>
      <c r="C438" s="40" t="s">
        <v>1281</v>
      </c>
      <c r="D438" s="75" t="s">
        <v>1269</v>
      </c>
      <c r="E438" s="75" t="s">
        <v>1266</v>
      </c>
      <c r="F438" s="75" t="s">
        <v>1268</v>
      </c>
      <c r="G438" s="75" t="s">
        <v>1267</v>
      </c>
    </row>
    <row r="439" spans="1:7" x14ac:dyDescent="0.2">
      <c r="A439" s="40">
        <v>2813</v>
      </c>
      <c r="B439" s="39" t="s">
        <v>1917</v>
      </c>
      <c r="C439" s="40" t="s">
        <v>1281</v>
      </c>
      <c r="D439" s="75" t="s">
        <v>1269</v>
      </c>
      <c r="E439" s="75" t="s">
        <v>1266</v>
      </c>
      <c r="F439" s="75" t="s">
        <v>1268</v>
      </c>
      <c r="G439" s="75" t="s">
        <v>1267</v>
      </c>
    </row>
    <row r="440" spans="1:7" x14ac:dyDescent="0.2">
      <c r="A440" s="40">
        <v>2821</v>
      </c>
      <c r="B440" s="39" t="s">
        <v>1918</v>
      </c>
      <c r="C440" s="40" t="s">
        <v>1281</v>
      </c>
      <c r="D440" s="75" t="s">
        <v>1269</v>
      </c>
      <c r="E440" s="75" t="s">
        <v>1266</v>
      </c>
      <c r="F440" s="75" t="s">
        <v>1268</v>
      </c>
      <c r="G440" s="75" t="s">
        <v>1268</v>
      </c>
    </row>
    <row r="441" spans="1:7" x14ac:dyDescent="0.2">
      <c r="A441" s="40">
        <v>2822</v>
      </c>
      <c r="B441" s="39" t="s">
        <v>1919</v>
      </c>
      <c r="C441" s="40" t="s">
        <v>1281</v>
      </c>
      <c r="D441" s="75" t="s">
        <v>1269</v>
      </c>
      <c r="E441" s="75" t="s">
        <v>1266</v>
      </c>
      <c r="F441" s="75" t="s">
        <v>1268</v>
      </c>
      <c r="G441" s="75" t="s">
        <v>1268</v>
      </c>
    </row>
    <row r="442" spans="1:7" x14ac:dyDescent="0.2">
      <c r="A442" s="40">
        <v>2823</v>
      </c>
      <c r="B442" s="39" t="s">
        <v>1920</v>
      </c>
      <c r="C442" s="40" t="s">
        <v>1281</v>
      </c>
      <c r="D442" s="75" t="s">
        <v>1269</v>
      </c>
      <c r="E442" s="75" t="s">
        <v>1266</v>
      </c>
      <c r="F442" s="75" t="s">
        <v>1268</v>
      </c>
      <c r="G442" s="75" t="s">
        <v>1268</v>
      </c>
    </row>
    <row r="443" spans="1:7" x14ac:dyDescent="0.2">
      <c r="A443" s="40">
        <v>2824</v>
      </c>
      <c r="B443" s="39" t="s">
        <v>1921</v>
      </c>
      <c r="C443" s="40" t="s">
        <v>1281</v>
      </c>
      <c r="D443" s="75" t="s">
        <v>1269</v>
      </c>
      <c r="E443" s="75" t="s">
        <v>1266</v>
      </c>
      <c r="F443" s="75" t="s">
        <v>1268</v>
      </c>
      <c r="G443" s="75" t="s">
        <v>1267</v>
      </c>
    </row>
    <row r="444" spans="1:7" x14ac:dyDescent="0.2">
      <c r="A444" s="40">
        <v>2831</v>
      </c>
      <c r="B444" s="39" t="s">
        <v>1922</v>
      </c>
      <c r="C444" s="40" t="s">
        <v>1281</v>
      </c>
      <c r="D444" s="75" t="s">
        <v>1269</v>
      </c>
      <c r="E444" s="75" t="s">
        <v>1266</v>
      </c>
      <c r="F444" s="75" t="s">
        <v>1268</v>
      </c>
      <c r="G444" s="75" t="s">
        <v>1268</v>
      </c>
    </row>
    <row r="445" spans="1:7" x14ac:dyDescent="0.2">
      <c r="A445" s="40">
        <v>2832</v>
      </c>
      <c r="B445" s="39" t="s">
        <v>1923</v>
      </c>
      <c r="C445" s="40" t="s">
        <v>1281</v>
      </c>
      <c r="D445" s="75" t="s">
        <v>1269</v>
      </c>
      <c r="E445" s="75" t="s">
        <v>1266</v>
      </c>
      <c r="F445" s="75" t="s">
        <v>1268</v>
      </c>
      <c r="G445" s="75" t="s">
        <v>1267</v>
      </c>
    </row>
    <row r="446" spans="1:7" x14ac:dyDescent="0.2">
      <c r="A446" s="40">
        <v>2833</v>
      </c>
      <c r="B446" s="39" t="s">
        <v>1924</v>
      </c>
      <c r="C446" s="40" t="s">
        <v>1281</v>
      </c>
      <c r="D446" s="75" t="s">
        <v>1269</v>
      </c>
      <c r="E446" s="75" t="s">
        <v>1266</v>
      </c>
      <c r="F446" s="75" t="s">
        <v>1268</v>
      </c>
      <c r="G446" s="75" t="s">
        <v>1267</v>
      </c>
    </row>
    <row r="447" spans="1:7" x14ac:dyDescent="0.2">
      <c r="A447" s="40">
        <v>2840</v>
      </c>
      <c r="B447" s="39" t="s">
        <v>1925</v>
      </c>
      <c r="C447" s="40" t="s">
        <v>1281</v>
      </c>
      <c r="D447" s="75" t="s">
        <v>1269</v>
      </c>
      <c r="E447" s="75" t="s">
        <v>1266</v>
      </c>
      <c r="F447" s="75" t="s">
        <v>1268</v>
      </c>
      <c r="G447" s="75" t="s">
        <v>1268</v>
      </c>
    </row>
    <row r="448" spans="1:7" x14ac:dyDescent="0.2">
      <c r="A448" s="40">
        <v>2842</v>
      </c>
      <c r="B448" s="39" t="s">
        <v>1926</v>
      </c>
      <c r="C448" s="40" t="s">
        <v>1281</v>
      </c>
      <c r="D448" s="75" t="s">
        <v>1269</v>
      </c>
      <c r="E448" s="75" t="s">
        <v>1266</v>
      </c>
      <c r="F448" s="75" t="s">
        <v>1268</v>
      </c>
      <c r="G448" s="75" t="s">
        <v>1267</v>
      </c>
    </row>
    <row r="449" spans="1:7" x14ac:dyDescent="0.2">
      <c r="A449" s="40">
        <v>2851</v>
      </c>
      <c r="B449" s="39" t="s">
        <v>1927</v>
      </c>
      <c r="C449" s="40" t="s">
        <v>1281</v>
      </c>
      <c r="D449" s="75" t="s">
        <v>1269</v>
      </c>
      <c r="E449" s="75" t="s">
        <v>1266</v>
      </c>
      <c r="F449" s="75" t="s">
        <v>1268</v>
      </c>
      <c r="G449" s="75" t="s">
        <v>1268</v>
      </c>
    </row>
    <row r="450" spans="1:7" x14ac:dyDescent="0.2">
      <c r="A450" s="40">
        <v>2852</v>
      </c>
      <c r="B450" s="39" t="s">
        <v>1928</v>
      </c>
      <c r="C450" s="40" t="s">
        <v>1281</v>
      </c>
      <c r="D450" s="75" t="s">
        <v>1269</v>
      </c>
      <c r="E450" s="75" t="s">
        <v>1266</v>
      </c>
      <c r="F450" s="75" t="s">
        <v>1268</v>
      </c>
      <c r="G450" s="75" t="s">
        <v>1267</v>
      </c>
    </row>
    <row r="451" spans="1:7" x14ac:dyDescent="0.2">
      <c r="A451" s="40">
        <v>2853</v>
      </c>
      <c r="B451" s="39" t="s">
        <v>1929</v>
      </c>
      <c r="C451" s="40" t="s">
        <v>1281</v>
      </c>
      <c r="D451" s="75" t="s">
        <v>1269</v>
      </c>
      <c r="E451" s="75" t="s">
        <v>1266</v>
      </c>
      <c r="F451" s="75" t="s">
        <v>1268</v>
      </c>
      <c r="G451" s="75" t="s">
        <v>1267</v>
      </c>
    </row>
    <row r="452" spans="1:7" x14ac:dyDescent="0.2">
      <c r="A452" s="40">
        <v>2860</v>
      </c>
      <c r="B452" s="39" t="s">
        <v>1930</v>
      </c>
      <c r="C452" s="40" t="s">
        <v>1281</v>
      </c>
      <c r="D452" s="75" t="s">
        <v>1269</v>
      </c>
      <c r="E452" s="75" t="s">
        <v>1266</v>
      </c>
      <c r="F452" s="75" t="s">
        <v>1268</v>
      </c>
      <c r="G452" s="75" t="s">
        <v>1268</v>
      </c>
    </row>
    <row r="453" spans="1:7" x14ac:dyDescent="0.2">
      <c r="A453" s="40">
        <v>2870</v>
      </c>
      <c r="B453" s="39" t="s">
        <v>1931</v>
      </c>
      <c r="C453" s="40" t="s">
        <v>1281</v>
      </c>
      <c r="D453" s="75" t="s">
        <v>1269</v>
      </c>
      <c r="E453" s="75" t="s">
        <v>1266</v>
      </c>
      <c r="F453" s="75" t="s">
        <v>1268</v>
      </c>
      <c r="G453" s="75" t="s">
        <v>1268</v>
      </c>
    </row>
    <row r="454" spans="1:7" x14ac:dyDescent="0.2">
      <c r="A454" s="40">
        <v>2871</v>
      </c>
      <c r="B454" s="39" t="s">
        <v>1932</v>
      </c>
      <c r="C454" s="40" t="s">
        <v>1281</v>
      </c>
      <c r="D454" s="75" t="s">
        <v>1269</v>
      </c>
      <c r="E454" s="75" t="s">
        <v>1266</v>
      </c>
      <c r="F454" s="75" t="s">
        <v>1268</v>
      </c>
      <c r="G454" s="75" t="s">
        <v>1267</v>
      </c>
    </row>
    <row r="455" spans="1:7" x14ac:dyDescent="0.2">
      <c r="A455" s="40">
        <v>2872</v>
      </c>
      <c r="B455" s="39" t="s">
        <v>227</v>
      </c>
      <c r="C455" s="40" t="s">
        <v>1281</v>
      </c>
      <c r="D455" s="75" t="s">
        <v>1269</v>
      </c>
      <c r="E455" s="75" t="s">
        <v>1266</v>
      </c>
      <c r="F455" s="75" t="s">
        <v>1268</v>
      </c>
      <c r="G455" s="75" t="s">
        <v>1267</v>
      </c>
    </row>
    <row r="456" spans="1:7" x14ac:dyDescent="0.2">
      <c r="A456" s="40">
        <v>2873</v>
      </c>
      <c r="B456" s="39" t="s">
        <v>1933</v>
      </c>
      <c r="C456" s="40" t="s">
        <v>1281</v>
      </c>
      <c r="D456" s="75" t="s">
        <v>1269</v>
      </c>
      <c r="E456" s="75" t="s">
        <v>1266</v>
      </c>
      <c r="F456" s="75" t="s">
        <v>1268</v>
      </c>
      <c r="G456" s="75" t="s">
        <v>1267</v>
      </c>
    </row>
    <row r="457" spans="1:7" x14ac:dyDescent="0.2">
      <c r="A457" s="40">
        <v>2880</v>
      </c>
      <c r="B457" s="39" t="s">
        <v>1934</v>
      </c>
      <c r="C457" s="40" t="s">
        <v>1281</v>
      </c>
      <c r="D457" s="75" t="s">
        <v>1269</v>
      </c>
      <c r="E457" s="75" t="s">
        <v>1266</v>
      </c>
      <c r="F457" s="75" t="s">
        <v>1268</v>
      </c>
      <c r="G457" s="75" t="s">
        <v>1268</v>
      </c>
    </row>
    <row r="458" spans="1:7" x14ac:dyDescent="0.2">
      <c r="A458" s="40">
        <v>2881</v>
      </c>
      <c r="B458" s="39" t="s">
        <v>1935</v>
      </c>
      <c r="C458" s="40" t="s">
        <v>1281</v>
      </c>
      <c r="D458" s="75" t="s">
        <v>1269</v>
      </c>
      <c r="E458" s="75" t="s">
        <v>1266</v>
      </c>
      <c r="F458" s="75" t="s">
        <v>1268</v>
      </c>
      <c r="G458" s="75" t="s">
        <v>1267</v>
      </c>
    </row>
    <row r="459" spans="1:7" x14ac:dyDescent="0.2">
      <c r="A459" s="40">
        <v>3001</v>
      </c>
      <c r="B459" s="39" t="s">
        <v>1936</v>
      </c>
      <c r="C459" s="40" t="s">
        <v>1281</v>
      </c>
      <c r="D459" s="75" t="s">
        <v>1269</v>
      </c>
      <c r="E459" s="75" t="s">
        <v>1266</v>
      </c>
      <c r="F459" s="75" t="s">
        <v>1268</v>
      </c>
      <c r="G459" s="75" t="s">
        <v>1268</v>
      </c>
    </row>
    <row r="460" spans="1:7" x14ac:dyDescent="0.2">
      <c r="A460" s="40">
        <v>3002</v>
      </c>
      <c r="B460" s="39" t="s">
        <v>1937</v>
      </c>
      <c r="C460" s="40" t="s">
        <v>1281</v>
      </c>
      <c r="D460" s="75" t="s">
        <v>1269</v>
      </c>
      <c r="E460" s="75" t="s">
        <v>1266</v>
      </c>
      <c r="F460" s="75" t="s">
        <v>1268</v>
      </c>
      <c r="G460" s="75" t="s">
        <v>1268</v>
      </c>
    </row>
    <row r="461" spans="1:7" x14ac:dyDescent="0.2">
      <c r="A461" s="40">
        <v>3003</v>
      </c>
      <c r="B461" s="39" t="s">
        <v>1938</v>
      </c>
      <c r="C461" s="40" t="s">
        <v>1281</v>
      </c>
      <c r="D461" s="75" t="s">
        <v>1269</v>
      </c>
      <c r="E461" s="75" t="s">
        <v>1266</v>
      </c>
      <c r="F461" s="75" t="s">
        <v>1268</v>
      </c>
      <c r="G461" s="75" t="s">
        <v>1268</v>
      </c>
    </row>
    <row r="462" spans="1:7" x14ac:dyDescent="0.2">
      <c r="A462" s="40">
        <v>3004</v>
      </c>
      <c r="B462" s="39" t="s">
        <v>1939</v>
      </c>
      <c r="C462" s="40" t="s">
        <v>1281</v>
      </c>
      <c r="D462" s="75" t="s">
        <v>1269</v>
      </c>
      <c r="E462" s="75" t="s">
        <v>1266</v>
      </c>
      <c r="F462" s="75" t="s">
        <v>1268</v>
      </c>
      <c r="G462" s="75" t="s">
        <v>1267</v>
      </c>
    </row>
    <row r="463" spans="1:7" x14ac:dyDescent="0.2">
      <c r="A463" s="40">
        <v>3011</v>
      </c>
      <c r="B463" s="39" t="s">
        <v>1940</v>
      </c>
      <c r="C463" s="40" t="s">
        <v>1281</v>
      </c>
      <c r="D463" s="75" t="s">
        <v>1269</v>
      </c>
      <c r="E463" s="75" t="s">
        <v>1266</v>
      </c>
      <c r="F463" s="75" t="s">
        <v>1268</v>
      </c>
      <c r="G463" s="75" t="s">
        <v>1268</v>
      </c>
    </row>
    <row r="464" spans="1:7" x14ac:dyDescent="0.2">
      <c r="A464" s="40">
        <v>3012</v>
      </c>
      <c r="B464" s="39" t="s">
        <v>1941</v>
      </c>
      <c r="C464" s="40" t="s">
        <v>1281</v>
      </c>
      <c r="D464" s="75" t="s">
        <v>1269</v>
      </c>
      <c r="E464" s="75" t="s">
        <v>1266</v>
      </c>
      <c r="F464" s="75" t="s">
        <v>1268</v>
      </c>
      <c r="G464" s="75" t="s">
        <v>1268</v>
      </c>
    </row>
    <row r="465" spans="1:7" x14ac:dyDescent="0.2">
      <c r="A465" s="40">
        <v>3013</v>
      </c>
      <c r="B465" s="39" t="s">
        <v>1942</v>
      </c>
      <c r="C465" s="40" t="s">
        <v>1281</v>
      </c>
      <c r="D465" s="75" t="s">
        <v>1269</v>
      </c>
      <c r="E465" s="75" t="s">
        <v>1266</v>
      </c>
      <c r="F465" s="75" t="s">
        <v>1268</v>
      </c>
      <c r="G465" s="75" t="s">
        <v>1268</v>
      </c>
    </row>
    <row r="466" spans="1:7" x14ac:dyDescent="0.2">
      <c r="A466" s="40">
        <v>3021</v>
      </c>
      <c r="B466" s="39" t="s">
        <v>1943</v>
      </c>
      <c r="C466" s="40" t="s">
        <v>1281</v>
      </c>
      <c r="D466" s="75" t="s">
        <v>1269</v>
      </c>
      <c r="E466" s="75" t="s">
        <v>1266</v>
      </c>
      <c r="F466" s="75" t="s">
        <v>1268</v>
      </c>
      <c r="G466" s="75" t="s">
        <v>1268</v>
      </c>
    </row>
    <row r="467" spans="1:7" x14ac:dyDescent="0.2">
      <c r="A467" s="40">
        <v>3031</v>
      </c>
      <c r="B467" s="39" t="s">
        <v>1944</v>
      </c>
      <c r="C467" s="40" t="s">
        <v>1281</v>
      </c>
      <c r="D467" s="75" t="s">
        <v>1269</v>
      </c>
      <c r="E467" s="75" t="s">
        <v>1266</v>
      </c>
      <c r="F467" s="75" t="s">
        <v>1268</v>
      </c>
      <c r="G467" s="75" t="s">
        <v>1267</v>
      </c>
    </row>
    <row r="468" spans="1:7" x14ac:dyDescent="0.2">
      <c r="A468" s="40">
        <v>3032</v>
      </c>
      <c r="B468" s="39" t="s">
        <v>1945</v>
      </c>
      <c r="C468" s="40" t="s">
        <v>1281</v>
      </c>
      <c r="D468" s="75" t="s">
        <v>1269</v>
      </c>
      <c r="E468" s="75" t="s">
        <v>1266</v>
      </c>
      <c r="F468" s="75" t="s">
        <v>1268</v>
      </c>
      <c r="G468" s="75" t="s">
        <v>1268</v>
      </c>
    </row>
    <row r="469" spans="1:7" x14ac:dyDescent="0.2">
      <c r="A469" s="40">
        <v>3033</v>
      </c>
      <c r="B469" s="39" t="s">
        <v>1946</v>
      </c>
      <c r="C469" s="40" t="s">
        <v>1281</v>
      </c>
      <c r="D469" s="75" t="s">
        <v>1269</v>
      </c>
      <c r="E469" s="75" t="s">
        <v>1266</v>
      </c>
      <c r="F469" s="75" t="s">
        <v>1268</v>
      </c>
      <c r="G469" s="75" t="s">
        <v>1268</v>
      </c>
    </row>
    <row r="470" spans="1:7" x14ac:dyDescent="0.2">
      <c r="A470" s="40">
        <v>3034</v>
      </c>
      <c r="B470" s="39" t="s">
        <v>1947</v>
      </c>
      <c r="C470" s="40" t="s">
        <v>1281</v>
      </c>
      <c r="D470" s="75" t="s">
        <v>1269</v>
      </c>
      <c r="E470" s="75" t="s">
        <v>1266</v>
      </c>
      <c r="F470" s="75" t="s">
        <v>1268</v>
      </c>
      <c r="G470" s="75" t="s">
        <v>1268</v>
      </c>
    </row>
    <row r="471" spans="1:7" x14ac:dyDescent="0.2">
      <c r="A471" s="40">
        <v>3040</v>
      </c>
      <c r="B471" s="39" t="s">
        <v>1948</v>
      </c>
      <c r="C471" s="40" t="s">
        <v>1281</v>
      </c>
      <c r="D471" s="75" t="s">
        <v>1269</v>
      </c>
      <c r="E471" s="75" t="s">
        <v>1266</v>
      </c>
      <c r="F471" s="75" t="s">
        <v>1268</v>
      </c>
      <c r="G471" s="75" t="s">
        <v>1268</v>
      </c>
    </row>
    <row r="472" spans="1:7" x14ac:dyDescent="0.2">
      <c r="A472" s="40">
        <v>3041</v>
      </c>
      <c r="B472" s="39" t="s">
        <v>1949</v>
      </c>
      <c r="C472" s="40" t="s">
        <v>1281</v>
      </c>
      <c r="D472" s="75" t="s">
        <v>1269</v>
      </c>
      <c r="E472" s="75" t="s">
        <v>1266</v>
      </c>
      <c r="F472" s="75" t="s">
        <v>1268</v>
      </c>
      <c r="G472" s="75" t="s">
        <v>1267</v>
      </c>
    </row>
    <row r="473" spans="1:7" x14ac:dyDescent="0.2">
      <c r="A473" s="40">
        <v>3042</v>
      </c>
      <c r="B473" s="39" t="s">
        <v>1950</v>
      </c>
      <c r="C473" s="40" t="s">
        <v>1281</v>
      </c>
      <c r="D473" s="75" t="s">
        <v>1269</v>
      </c>
      <c r="E473" s="75" t="s">
        <v>1266</v>
      </c>
      <c r="F473" s="75" t="s">
        <v>1268</v>
      </c>
      <c r="G473" s="75" t="s">
        <v>1267</v>
      </c>
    </row>
    <row r="474" spans="1:7" x14ac:dyDescent="0.2">
      <c r="A474" s="40">
        <v>3051</v>
      </c>
      <c r="B474" s="39" t="s">
        <v>1951</v>
      </c>
      <c r="C474" s="40" t="s">
        <v>1281</v>
      </c>
      <c r="D474" s="75" t="s">
        <v>1269</v>
      </c>
      <c r="E474" s="75" t="s">
        <v>1266</v>
      </c>
      <c r="F474" s="75" t="s">
        <v>1268</v>
      </c>
      <c r="G474" s="75" t="s">
        <v>1267</v>
      </c>
    </row>
    <row r="475" spans="1:7" x14ac:dyDescent="0.2">
      <c r="A475" s="40">
        <v>3052</v>
      </c>
      <c r="B475" s="39" t="s">
        <v>1952</v>
      </c>
      <c r="C475" s="40" t="s">
        <v>1281</v>
      </c>
      <c r="D475" s="75" t="s">
        <v>1269</v>
      </c>
      <c r="E475" s="75" t="s">
        <v>1266</v>
      </c>
      <c r="F475" s="75" t="s">
        <v>1268</v>
      </c>
      <c r="G475" s="75" t="s">
        <v>1267</v>
      </c>
    </row>
    <row r="476" spans="1:7" x14ac:dyDescent="0.2">
      <c r="A476" s="40">
        <v>3053</v>
      </c>
      <c r="B476" s="39" t="s">
        <v>1953</v>
      </c>
      <c r="C476" s="40" t="s">
        <v>1281</v>
      </c>
      <c r="D476" s="75" t="s">
        <v>1269</v>
      </c>
      <c r="E476" s="75" t="s">
        <v>1266</v>
      </c>
      <c r="F476" s="75" t="s">
        <v>1268</v>
      </c>
      <c r="G476" s="75" t="s">
        <v>1267</v>
      </c>
    </row>
    <row r="477" spans="1:7" x14ac:dyDescent="0.2">
      <c r="A477" s="40">
        <v>3061</v>
      </c>
      <c r="B477" s="39" t="s">
        <v>1954</v>
      </c>
      <c r="C477" s="40" t="s">
        <v>1281</v>
      </c>
      <c r="D477" s="75" t="s">
        <v>1269</v>
      </c>
      <c r="E477" s="75" t="s">
        <v>1266</v>
      </c>
      <c r="F477" s="75" t="s">
        <v>1268</v>
      </c>
      <c r="G477" s="75" t="s">
        <v>1267</v>
      </c>
    </row>
    <row r="478" spans="1:7" x14ac:dyDescent="0.2">
      <c r="A478" s="40">
        <v>3062</v>
      </c>
      <c r="B478" s="39" t="s">
        <v>1955</v>
      </c>
      <c r="C478" s="40" t="s">
        <v>1281</v>
      </c>
      <c r="D478" s="75" t="s">
        <v>1269</v>
      </c>
      <c r="E478" s="75" t="s">
        <v>1266</v>
      </c>
      <c r="F478" s="75" t="s">
        <v>1268</v>
      </c>
      <c r="G478" s="75" t="s">
        <v>1268</v>
      </c>
    </row>
    <row r="479" spans="1:7" x14ac:dyDescent="0.2">
      <c r="A479" s="40">
        <v>3071</v>
      </c>
      <c r="B479" s="39" t="s">
        <v>1956</v>
      </c>
      <c r="C479" s="40" t="s">
        <v>1281</v>
      </c>
      <c r="D479" s="75" t="s">
        <v>1269</v>
      </c>
      <c r="E479" s="75" t="s">
        <v>1266</v>
      </c>
      <c r="F479" s="75" t="s">
        <v>1268</v>
      </c>
      <c r="G479" s="75" t="s">
        <v>1268</v>
      </c>
    </row>
    <row r="480" spans="1:7" x14ac:dyDescent="0.2">
      <c r="A480" s="40">
        <v>3072</v>
      </c>
      <c r="B480" s="39" t="s">
        <v>1957</v>
      </c>
      <c r="C480" s="40" t="s">
        <v>1281</v>
      </c>
      <c r="D480" s="75" t="s">
        <v>1269</v>
      </c>
      <c r="E480" s="75" t="s">
        <v>1266</v>
      </c>
      <c r="F480" s="75" t="s">
        <v>1268</v>
      </c>
      <c r="G480" s="75" t="s">
        <v>1267</v>
      </c>
    </row>
    <row r="481" spans="1:7" x14ac:dyDescent="0.2">
      <c r="A481" s="40">
        <v>3073</v>
      </c>
      <c r="B481" s="39" t="s">
        <v>1958</v>
      </c>
      <c r="C481" s="40" t="s">
        <v>1281</v>
      </c>
      <c r="D481" s="75" t="s">
        <v>1269</v>
      </c>
      <c r="E481" s="75" t="s">
        <v>1266</v>
      </c>
      <c r="F481" s="75" t="s">
        <v>1268</v>
      </c>
      <c r="G481" s="75" t="s">
        <v>1268</v>
      </c>
    </row>
    <row r="482" spans="1:7" x14ac:dyDescent="0.2">
      <c r="A482" s="40">
        <v>3074</v>
      </c>
      <c r="B482" s="39" t="s">
        <v>1961</v>
      </c>
      <c r="C482" s="40" t="s">
        <v>1281</v>
      </c>
      <c r="D482" s="75" t="s">
        <v>1269</v>
      </c>
      <c r="E482" s="75" t="s">
        <v>1266</v>
      </c>
      <c r="F482" s="75" t="s">
        <v>1268</v>
      </c>
      <c r="G482" s="75" t="s">
        <v>1267</v>
      </c>
    </row>
    <row r="483" spans="1:7" x14ac:dyDescent="0.2">
      <c r="A483" s="40">
        <v>3100</v>
      </c>
      <c r="B483" s="39" t="s">
        <v>271</v>
      </c>
      <c r="C483" s="40" t="s">
        <v>1281</v>
      </c>
      <c r="D483" s="75" t="s">
        <v>1269</v>
      </c>
      <c r="E483" s="75" t="s">
        <v>1266</v>
      </c>
      <c r="F483" s="75" t="s">
        <v>1268</v>
      </c>
      <c r="G483" s="75" t="s">
        <v>1268</v>
      </c>
    </row>
    <row r="484" spans="1:7" x14ac:dyDescent="0.2">
      <c r="A484" s="40">
        <v>3101</v>
      </c>
      <c r="B484" s="39" t="s">
        <v>1962</v>
      </c>
      <c r="C484" s="40" t="s">
        <v>1281</v>
      </c>
      <c r="D484" s="75" t="s">
        <v>1271</v>
      </c>
      <c r="E484" s="75" t="s">
        <v>1266</v>
      </c>
      <c r="F484" s="75" t="s">
        <v>1267</v>
      </c>
      <c r="G484" s="75" t="s">
        <v>1268</v>
      </c>
    </row>
    <row r="485" spans="1:7" x14ac:dyDescent="0.2">
      <c r="A485" s="40">
        <v>3102</v>
      </c>
      <c r="B485" s="39" t="s">
        <v>271</v>
      </c>
      <c r="C485" s="40" t="s">
        <v>1281</v>
      </c>
      <c r="D485" s="75" t="s">
        <v>1271</v>
      </c>
      <c r="E485" s="75" t="s">
        <v>1266</v>
      </c>
      <c r="F485" s="75" t="s">
        <v>1267</v>
      </c>
      <c r="G485" s="75" t="s">
        <v>1268</v>
      </c>
    </row>
    <row r="486" spans="1:7" x14ac:dyDescent="0.2">
      <c r="A486" s="40">
        <v>3103</v>
      </c>
      <c r="B486" s="39" t="s">
        <v>271</v>
      </c>
      <c r="C486" s="40" t="s">
        <v>1281</v>
      </c>
      <c r="D486" s="75" t="s">
        <v>1271</v>
      </c>
      <c r="E486" s="75" t="s">
        <v>1266</v>
      </c>
      <c r="F486" s="75" t="s">
        <v>1267</v>
      </c>
      <c r="G486" s="75" t="s">
        <v>1268</v>
      </c>
    </row>
    <row r="487" spans="1:7" x14ac:dyDescent="0.2">
      <c r="A487" s="40">
        <v>3104</v>
      </c>
      <c r="B487" s="39" t="s">
        <v>1963</v>
      </c>
      <c r="C487" s="40" t="s">
        <v>1281</v>
      </c>
      <c r="D487" s="75" t="s">
        <v>1269</v>
      </c>
      <c r="E487" s="75" t="s">
        <v>1266</v>
      </c>
      <c r="F487" s="75" t="s">
        <v>1268</v>
      </c>
      <c r="G487" s="75" t="s">
        <v>1267</v>
      </c>
    </row>
    <row r="488" spans="1:7" x14ac:dyDescent="0.2">
      <c r="A488" s="40">
        <v>3105</v>
      </c>
      <c r="B488" s="39" t="s">
        <v>1964</v>
      </c>
      <c r="C488" s="40" t="s">
        <v>1281</v>
      </c>
      <c r="D488" s="75" t="s">
        <v>1269</v>
      </c>
      <c r="E488" s="75" t="s">
        <v>1266</v>
      </c>
      <c r="F488" s="75" t="s">
        <v>1268</v>
      </c>
      <c r="G488" s="75" t="s">
        <v>1267</v>
      </c>
    </row>
    <row r="489" spans="1:7" x14ac:dyDescent="0.2">
      <c r="A489" s="40">
        <v>3106</v>
      </c>
      <c r="B489" s="39" t="s">
        <v>1965</v>
      </c>
      <c r="C489" s="40" t="s">
        <v>1281</v>
      </c>
      <c r="D489" s="75" t="s">
        <v>1271</v>
      </c>
      <c r="E489" s="75" t="s">
        <v>1266</v>
      </c>
      <c r="F489" s="75" t="s">
        <v>1267</v>
      </c>
      <c r="G489" s="75" t="s">
        <v>1268</v>
      </c>
    </row>
    <row r="490" spans="1:7" x14ac:dyDescent="0.2">
      <c r="A490" s="40">
        <v>3107</v>
      </c>
      <c r="B490" s="39" t="s">
        <v>1966</v>
      </c>
      <c r="C490" s="40" t="s">
        <v>1281</v>
      </c>
      <c r="D490" s="75" t="s">
        <v>1269</v>
      </c>
      <c r="E490" s="75" t="s">
        <v>1266</v>
      </c>
      <c r="F490" s="75" t="s">
        <v>1268</v>
      </c>
      <c r="G490" s="75" t="s">
        <v>1268</v>
      </c>
    </row>
    <row r="491" spans="1:7" x14ac:dyDescent="0.2">
      <c r="A491" s="40">
        <v>3108</v>
      </c>
      <c r="B491" s="39" t="s">
        <v>1967</v>
      </c>
      <c r="C491" s="40" t="s">
        <v>1281</v>
      </c>
      <c r="D491" s="75" t="s">
        <v>1271</v>
      </c>
      <c r="E491" s="75" t="s">
        <v>1266</v>
      </c>
      <c r="F491" s="75" t="s">
        <v>1267</v>
      </c>
      <c r="G491" s="75" t="s">
        <v>1268</v>
      </c>
    </row>
    <row r="492" spans="1:7" x14ac:dyDescent="0.2">
      <c r="A492" s="40">
        <v>3109</v>
      </c>
      <c r="B492" s="39" t="s">
        <v>271</v>
      </c>
      <c r="C492" s="40" t="s">
        <v>1281</v>
      </c>
      <c r="D492" s="75" t="s">
        <v>1271</v>
      </c>
      <c r="E492" s="75" t="s">
        <v>1266</v>
      </c>
      <c r="F492" s="75" t="s">
        <v>1267</v>
      </c>
      <c r="G492" s="75" t="s">
        <v>1268</v>
      </c>
    </row>
    <row r="493" spans="1:7" x14ac:dyDescent="0.2">
      <c r="A493" s="40">
        <v>3110</v>
      </c>
      <c r="B493" s="39" t="s">
        <v>1968</v>
      </c>
      <c r="C493" s="40" t="s">
        <v>1281</v>
      </c>
      <c r="D493" s="75" t="s">
        <v>1269</v>
      </c>
      <c r="E493" s="75" t="s">
        <v>1266</v>
      </c>
      <c r="F493" s="75" t="s">
        <v>1268</v>
      </c>
      <c r="G493" s="75" t="s">
        <v>1267</v>
      </c>
    </row>
    <row r="494" spans="1:7" x14ac:dyDescent="0.2">
      <c r="A494" s="40">
        <v>3111</v>
      </c>
      <c r="B494" s="39" t="s">
        <v>271</v>
      </c>
      <c r="C494" s="40" t="s">
        <v>1281</v>
      </c>
      <c r="D494" s="75" t="s">
        <v>1271</v>
      </c>
      <c r="E494" s="75" t="s">
        <v>1266</v>
      </c>
      <c r="F494" s="75" t="s">
        <v>1267</v>
      </c>
      <c r="G494" s="75" t="s">
        <v>1268</v>
      </c>
    </row>
    <row r="495" spans="1:7" x14ac:dyDescent="0.2">
      <c r="A495" s="40">
        <v>3121</v>
      </c>
      <c r="B495" s="39" t="s">
        <v>1969</v>
      </c>
      <c r="C495" s="40" t="s">
        <v>1281</v>
      </c>
      <c r="D495" s="75" t="s">
        <v>1269</v>
      </c>
      <c r="E495" s="75" t="s">
        <v>1266</v>
      </c>
      <c r="F495" s="75" t="s">
        <v>1268</v>
      </c>
      <c r="G495" s="75" t="s">
        <v>1268</v>
      </c>
    </row>
    <row r="496" spans="1:7" x14ac:dyDescent="0.2">
      <c r="A496" s="40">
        <v>3122</v>
      </c>
      <c r="B496" s="39" t="s">
        <v>1970</v>
      </c>
      <c r="C496" s="40" t="s">
        <v>1281</v>
      </c>
      <c r="D496" s="75" t="s">
        <v>1269</v>
      </c>
      <c r="E496" s="75" t="s">
        <v>1266</v>
      </c>
      <c r="F496" s="75" t="s">
        <v>1268</v>
      </c>
      <c r="G496" s="75" t="s">
        <v>1267</v>
      </c>
    </row>
    <row r="497" spans="1:7" x14ac:dyDescent="0.2">
      <c r="A497" s="40">
        <v>3123</v>
      </c>
      <c r="B497" s="39" t="s">
        <v>1971</v>
      </c>
      <c r="C497" s="40" t="s">
        <v>1281</v>
      </c>
      <c r="D497" s="75" t="s">
        <v>1269</v>
      </c>
      <c r="E497" s="75" t="s">
        <v>1266</v>
      </c>
      <c r="F497" s="75" t="s">
        <v>1268</v>
      </c>
      <c r="G497" s="75" t="s">
        <v>1267</v>
      </c>
    </row>
    <row r="498" spans="1:7" x14ac:dyDescent="0.2">
      <c r="A498" s="40">
        <v>3124</v>
      </c>
      <c r="B498" s="39" t="s">
        <v>1972</v>
      </c>
      <c r="C498" s="40" t="s">
        <v>1281</v>
      </c>
      <c r="D498" s="75" t="s">
        <v>1269</v>
      </c>
      <c r="E498" s="75" t="s">
        <v>1266</v>
      </c>
      <c r="F498" s="75" t="s">
        <v>1268</v>
      </c>
      <c r="G498" s="75" t="s">
        <v>1267</v>
      </c>
    </row>
    <row r="499" spans="1:7" x14ac:dyDescent="0.2">
      <c r="A499" s="40">
        <v>3125</v>
      </c>
      <c r="B499" s="39" t="s">
        <v>1973</v>
      </c>
      <c r="C499" s="40" t="s">
        <v>1281</v>
      </c>
      <c r="D499" s="75" t="s">
        <v>1269</v>
      </c>
      <c r="E499" s="75" t="s">
        <v>1266</v>
      </c>
      <c r="F499" s="75" t="s">
        <v>1268</v>
      </c>
      <c r="G499" s="75" t="s">
        <v>1267</v>
      </c>
    </row>
    <row r="500" spans="1:7" x14ac:dyDescent="0.2">
      <c r="A500" s="40">
        <v>3130</v>
      </c>
      <c r="B500" s="39" t="s">
        <v>1974</v>
      </c>
      <c r="C500" s="40" t="s">
        <v>1281</v>
      </c>
      <c r="D500" s="75" t="s">
        <v>1269</v>
      </c>
      <c r="E500" s="75" t="s">
        <v>1266</v>
      </c>
      <c r="F500" s="75" t="s">
        <v>1268</v>
      </c>
      <c r="G500" s="75" t="s">
        <v>1268</v>
      </c>
    </row>
    <row r="501" spans="1:7" x14ac:dyDescent="0.2">
      <c r="A501" s="40">
        <v>3131</v>
      </c>
      <c r="B501" s="39" t="s">
        <v>1983</v>
      </c>
      <c r="C501" s="40" t="s">
        <v>1281</v>
      </c>
      <c r="D501" s="75" t="s">
        <v>1269</v>
      </c>
      <c r="E501" s="75" t="s">
        <v>1266</v>
      </c>
      <c r="F501" s="75" t="s">
        <v>1268</v>
      </c>
      <c r="G501" s="75" t="s">
        <v>1267</v>
      </c>
    </row>
    <row r="502" spans="1:7" x14ac:dyDescent="0.2">
      <c r="A502" s="40">
        <v>3133</v>
      </c>
      <c r="B502" s="39" t="s">
        <v>1984</v>
      </c>
      <c r="C502" s="40" t="s">
        <v>1281</v>
      </c>
      <c r="D502" s="75" t="s">
        <v>1269</v>
      </c>
      <c r="E502" s="75" t="s">
        <v>1266</v>
      </c>
      <c r="F502" s="75" t="s">
        <v>1268</v>
      </c>
      <c r="G502" s="75" t="s">
        <v>1268</v>
      </c>
    </row>
    <row r="503" spans="1:7" x14ac:dyDescent="0.2">
      <c r="A503" s="40">
        <v>3134</v>
      </c>
      <c r="B503" s="39" t="s">
        <v>1985</v>
      </c>
      <c r="C503" s="40" t="s">
        <v>1281</v>
      </c>
      <c r="D503" s="75" t="s">
        <v>1269</v>
      </c>
      <c r="E503" s="75" t="s">
        <v>1266</v>
      </c>
      <c r="F503" s="75" t="s">
        <v>1268</v>
      </c>
      <c r="G503" s="75" t="s">
        <v>1267</v>
      </c>
    </row>
    <row r="504" spans="1:7" x14ac:dyDescent="0.2">
      <c r="A504" s="40">
        <v>3140</v>
      </c>
      <c r="B504" s="39" t="s">
        <v>1986</v>
      </c>
      <c r="C504" s="40" t="s">
        <v>1281</v>
      </c>
      <c r="D504" s="75" t="s">
        <v>1269</v>
      </c>
      <c r="E504" s="75" t="s">
        <v>1266</v>
      </c>
      <c r="F504" s="75" t="s">
        <v>1268</v>
      </c>
      <c r="G504" s="75" t="s">
        <v>1267</v>
      </c>
    </row>
    <row r="505" spans="1:7" x14ac:dyDescent="0.2">
      <c r="A505" s="40">
        <v>3141</v>
      </c>
      <c r="B505" s="39" t="s">
        <v>1987</v>
      </c>
      <c r="C505" s="40" t="s">
        <v>1281</v>
      </c>
      <c r="D505" s="75" t="s">
        <v>1269</v>
      </c>
      <c r="E505" s="75" t="s">
        <v>1266</v>
      </c>
      <c r="F505" s="75" t="s">
        <v>1268</v>
      </c>
      <c r="G505" s="75" t="s">
        <v>1267</v>
      </c>
    </row>
    <row r="506" spans="1:7" x14ac:dyDescent="0.2">
      <c r="A506" s="40">
        <v>3142</v>
      </c>
      <c r="B506" s="39" t="s">
        <v>1988</v>
      </c>
      <c r="C506" s="40" t="s">
        <v>1281</v>
      </c>
      <c r="D506" s="75" t="s">
        <v>1269</v>
      </c>
      <c r="E506" s="75" t="s">
        <v>1266</v>
      </c>
      <c r="F506" s="75" t="s">
        <v>1268</v>
      </c>
      <c r="G506" s="75" t="s">
        <v>1267</v>
      </c>
    </row>
    <row r="507" spans="1:7" x14ac:dyDescent="0.2">
      <c r="A507" s="40">
        <v>3143</v>
      </c>
      <c r="B507" s="39" t="s">
        <v>1989</v>
      </c>
      <c r="C507" s="40" t="s">
        <v>1281</v>
      </c>
      <c r="D507" s="75" t="s">
        <v>1269</v>
      </c>
      <c r="E507" s="75" t="s">
        <v>1266</v>
      </c>
      <c r="F507" s="75" t="s">
        <v>1268</v>
      </c>
      <c r="G507" s="75" t="s">
        <v>1268</v>
      </c>
    </row>
    <row r="508" spans="1:7" x14ac:dyDescent="0.2">
      <c r="A508" s="40">
        <v>3144</v>
      </c>
      <c r="B508" s="39" t="s">
        <v>1990</v>
      </c>
      <c r="C508" s="40" t="s">
        <v>1281</v>
      </c>
      <c r="D508" s="75" t="s">
        <v>1269</v>
      </c>
      <c r="E508" s="75" t="s">
        <v>1266</v>
      </c>
      <c r="F508" s="75" t="s">
        <v>1268</v>
      </c>
      <c r="G508" s="75" t="s">
        <v>1267</v>
      </c>
    </row>
    <row r="509" spans="1:7" x14ac:dyDescent="0.2">
      <c r="A509" s="40">
        <v>3150</v>
      </c>
      <c r="B509" s="39" t="s">
        <v>1991</v>
      </c>
      <c r="C509" s="40" t="s">
        <v>1281</v>
      </c>
      <c r="D509" s="75" t="s">
        <v>1269</v>
      </c>
      <c r="E509" s="75" t="s">
        <v>1266</v>
      </c>
      <c r="F509" s="75" t="s">
        <v>1268</v>
      </c>
      <c r="G509" s="75" t="s">
        <v>1268</v>
      </c>
    </row>
    <row r="510" spans="1:7" x14ac:dyDescent="0.2">
      <c r="A510" s="40">
        <v>3151</v>
      </c>
      <c r="B510" s="39" t="s">
        <v>1992</v>
      </c>
      <c r="C510" s="40" t="s">
        <v>1281</v>
      </c>
      <c r="D510" s="75" t="s">
        <v>1269</v>
      </c>
      <c r="E510" s="75" t="s">
        <v>1266</v>
      </c>
      <c r="F510" s="75" t="s">
        <v>1268</v>
      </c>
      <c r="G510" s="75" t="s">
        <v>1267</v>
      </c>
    </row>
    <row r="511" spans="1:7" x14ac:dyDescent="0.2">
      <c r="A511" s="40">
        <v>3153</v>
      </c>
      <c r="B511" s="39" t="s">
        <v>1993</v>
      </c>
      <c r="C511" s="40" t="s">
        <v>1281</v>
      </c>
      <c r="D511" s="75" t="s">
        <v>1269</v>
      </c>
      <c r="E511" s="75" t="s">
        <v>1266</v>
      </c>
      <c r="F511" s="75" t="s">
        <v>1268</v>
      </c>
      <c r="G511" s="75" t="s">
        <v>1267</v>
      </c>
    </row>
    <row r="512" spans="1:7" x14ac:dyDescent="0.2">
      <c r="A512" s="40">
        <v>3160</v>
      </c>
      <c r="B512" s="39" t="s">
        <v>1994</v>
      </c>
      <c r="C512" s="40" t="s">
        <v>1281</v>
      </c>
      <c r="D512" s="75" t="s">
        <v>1269</v>
      </c>
      <c r="E512" s="75" t="s">
        <v>1266</v>
      </c>
      <c r="F512" s="75" t="s">
        <v>1268</v>
      </c>
      <c r="G512" s="75" t="s">
        <v>1268</v>
      </c>
    </row>
    <row r="513" spans="1:7" x14ac:dyDescent="0.2">
      <c r="A513" s="40">
        <v>3161</v>
      </c>
      <c r="B513" s="39" t="s">
        <v>458</v>
      </c>
      <c r="C513" s="40" t="s">
        <v>1281</v>
      </c>
      <c r="D513" s="75" t="s">
        <v>1269</v>
      </c>
      <c r="E513" s="75" t="s">
        <v>1266</v>
      </c>
      <c r="F513" s="75" t="s">
        <v>1268</v>
      </c>
      <c r="G513" s="75" t="s">
        <v>1268</v>
      </c>
    </row>
    <row r="514" spans="1:7" x14ac:dyDescent="0.2">
      <c r="A514" s="40">
        <v>3162</v>
      </c>
      <c r="B514" s="39" t="s">
        <v>459</v>
      </c>
      <c r="C514" s="40" t="s">
        <v>1281</v>
      </c>
      <c r="D514" s="75" t="s">
        <v>1269</v>
      </c>
      <c r="E514" s="75" t="s">
        <v>1266</v>
      </c>
      <c r="F514" s="75" t="s">
        <v>1268</v>
      </c>
      <c r="G514" s="75" t="s">
        <v>1267</v>
      </c>
    </row>
    <row r="515" spans="1:7" x14ac:dyDescent="0.2">
      <c r="A515" s="40">
        <v>3163</v>
      </c>
      <c r="B515" s="39" t="s">
        <v>460</v>
      </c>
      <c r="C515" s="40" t="s">
        <v>1281</v>
      </c>
      <c r="D515" s="75" t="s">
        <v>1269</v>
      </c>
      <c r="E515" s="75" t="s">
        <v>1266</v>
      </c>
      <c r="F515" s="75" t="s">
        <v>1268</v>
      </c>
      <c r="G515" s="75" t="s">
        <v>1267</v>
      </c>
    </row>
    <row r="516" spans="1:7" x14ac:dyDescent="0.2">
      <c r="A516" s="40">
        <v>3170</v>
      </c>
      <c r="B516" s="39" t="s">
        <v>461</v>
      </c>
      <c r="C516" s="40" t="s">
        <v>1281</v>
      </c>
      <c r="D516" s="75" t="s">
        <v>1269</v>
      </c>
      <c r="E516" s="75" t="s">
        <v>1266</v>
      </c>
      <c r="F516" s="75" t="s">
        <v>1268</v>
      </c>
      <c r="G516" s="75" t="s">
        <v>1268</v>
      </c>
    </row>
    <row r="517" spans="1:7" x14ac:dyDescent="0.2">
      <c r="A517" s="40">
        <v>3171</v>
      </c>
      <c r="B517" s="39" t="s">
        <v>462</v>
      </c>
      <c r="C517" s="40" t="s">
        <v>1281</v>
      </c>
      <c r="D517" s="75" t="s">
        <v>1269</v>
      </c>
      <c r="E517" s="75" t="s">
        <v>1266</v>
      </c>
      <c r="F517" s="75" t="s">
        <v>1268</v>
      </c>
      <c r="G517" s="75" t="s">
        <v>1267</v>
      </c>
    </row>
    <row r="518" spans="1:7" x14ac:dyDescent="0.2">
      <c r="A518" s="40">
        <v>3172</v>
      </c>
      <c r="B518" s="39" t="s">
        <v>463</v>
      </c>
      <c r="C518" s="40" t="s">
        <v>1281</v>
      </c>
      <c r="D518" s="75" t="s">
        <v>1269</v>
      </c>
      <c r="E518" s="75" t="s">
        <v>1266</v>
      </c>
      <c r="F518" s="75" t="s">
        <v>1268</v>
      </c>
      <c r="G518" s="75" t="s">
        <v>1267</v>
      </c>
    </row>
    <row r="519" spans="1:7" x14ac:dyDescent="0.2">
      <c r="A519" s="40">
        <v>3180</v>
      </c>
      <c r="B519" s="39" t="s">
        <v>215</v>
      </c>
      <c r="C519" s="40" t="s">
        <v>1281</v>
      </c>
      <c r="D519" s="75" t="s">
        <v>1269</v>
      </c>
      <c r="E519" s="75" t="s">
        <v>1266</v>
      </c>
      <c r="F519" s="75" t="s">
        <v>1268</v>
      </c>
      <c r="G519" s="75" t="s">
        <v>1268</v>
      </c>
    </row>
    <row r="520" spans="1:7" x14ac:dyDescent="0.2">
      <c r="A520" s="40">
        <v>3182</v>
      </c>
      <c r="B520" s="39" t="s">
        <v>464</v>
      </c>
      <c r="C520" s="40" t="s">
        <v>1281</v>
      </c>
      <c r="D520" s="75" t="s">
        <v>1265</v>
      </c>
      <c r="E520" s="75" t="s">
        <v>1266</v>
      </c>
      <c r="F520" s="75" t="s">
        <v>1267</v>
      </c>
      <c r="G520" s="75" t="s">
        <v>1268</v>
      </c>
    </row>
    <row r="521" spans="1:7" x14ac:dyDescent="0.2">
      <c r="A521" s="40">
        <v>3183</v>
      </c>
      <c r="B521" s="39" t="s">
        <v>465</v>
      </c>
      <c r="C521" s="40" t="s">
        <v>1281</v>
      </c>
      <c r="D521" s="75" t="s">
        <v>1269</v>
      </c>
      <c r="E521" s="75" t="s">
        <v>1266</v>
      </c>
      <c r="F521" s="75" t="s">
        <v>1268</v>
      </c>
      <c r="G521" s="75" t="s">
        <v>1267</v>
      </c>
    </row>
    <row r="522" spans="1:7" x14ac:dyDescent="0.2">
      <c r="A522" s="40">
        <v>3184</v>
      </c>
      <c r="B522" s="39" t="s">
        <v>466</v>
      </c>
      <c r="C522" s="40" t="s">
        <v>1281</v>
      </c>
      <c r="D522" s="75" t="s">
        <v>1269</v>
      </c>
      <c r="E522" s="75" t="s">
        <v>1266</v>
      </c>
      <c r="F522" s="75" t="s">
        <v>1268</v>
      </c>
      <c r="G522" s="75" t="s">
        <v>1268</v>
      </c>
    </row>
    <row r="523" spans="1:7" x14ac:dyDescent="0.2">
      <c r="A523" s="40">
        <v>3192</v>
      </c>
      <c r="B523" s="39" t="s">
        <v>467</v>
      </c>
      <c r="C523" s="40" t="s">
        <v>1281</v>
      </c>
      <c r="D523" s="75" t="s">
        <v>1269</v>
      </c>
      <c r="E523" s="75" t="s">
        <v>1266</v>
      </c>
      <c r="F523" s="75" t="s">
        <v>1268</v>
      </c>
      <c r="G523" s="75" t="s">
        <v>1267</v>
      </c>
    </row>
    <row r="524" spans="1:7" x14ac:dyDescent="0.2">
      <c r="A524" s="40">
        <v>3193</v>
      </c>
      <c r="B524" s="39" t="s">
        <v>468</v>
      </c>
      <c r="C524" s="40" t="s">
        <v>1281</v>
      </c>
      <c r="D524" s="75" t="s">
        <v>1269</v>
      </c>
      <c r="E524" s="75" t="s">
        <v>1266</v>
      </c>
      <c r="F524" s="75" t="s">
        <v>1268</v>
      </c>
      <c r="G524" s="75" t="s">
        <v>1268</v>
      </c>
    </row>
    <row r="525" spans="1:7" x14ac:dyDescent="0.2">
      <c r="A525" s="40">
        <v>3195</v>
      </c>
      <c r="B525" s="39" t="s">
        <v>469</v>
      </c>
      <c r="C525" s="40" t="s">
        <v>1281</v>
      </c>
      <c r="D525" s="75" t="s">
        <v>1269</v>
      </c>
      <c r="E525" s="75" t="s">
        <v>1266</v>
      </c>
      <c r="F525" s="75" t="s">
        <v>1268</v>
      </c>
      <c r="G525" s="75" t="s">
        <v>1267</v>
      </c>
    </row>
    <row r="526" spans="1:7" x14ac:dyDescent="0.2">
      <c r="A526" s="40">
        <v>3200</v>
      </c>
      <c r="B526" s="39" t="s">
        <v>470</v>
      </c>
      <c r="C526" s="40" t="s">
        <v>1281</v>
      </c>
      <c r="D526" s="75" t="s">
        <v>1269</v>
      </c>
      <c r="E526" s="75" t="s">
        <v>1266</v>
      </c>
      <c r="F526" s="75" t="s">
        <v>1268</v>
      </c>
      <c r="G526" s="75" t="s">
        <v>1268</v>
      </c>
    </row>
    <row r="527" spans="1:7" x14ac:dyDescent="0.2">
      <c r="A527" s="40">
        <v>3202</v>
      </c>
      <c r="B527" s="39" t="s">
        <v>471</v>
      </c>
      <c r="C527" s="40" t="s">
        <v>1281</v>
      </c>
      <c r="D527" s="75" t="s">
        <v>1269</v>
      </c>
      <c r="E527" s="75" t="s">
        <v>1266</v>
      </c>
      <c r="F527" s="75" t="s">
        <v>1268</v>
      </c>
      <c r="G527" s="75" t="s">
        <v>1267</v>
      </c>
    </row>
    <row r="528" spans="1:7" x14ac:dyDescent="0.2">
      <c r="A528" s="40">
        <v>3203</v>
      </c>
      <c r="B528" s="39" t="s">
        <v>472</v>
      </c>
      <c r="C528" s="40" t="s">
        <v>1281</v>
      </c>
      <c r="D528" s="75" t="s">
        <v>1269</v>
      </c>
      <c r="E528" s="75" t="s">
        <v>1266</v>
      </c>
      <c r="F528" s="75" t="s">
        <v>1268</v>
      </c>
      <c r="G528" s="75" t="s">
        <v>1268</v>
      </c>
    </row>
    <row r="529" spans="1:7" x14ac:dyDescent="0.2">
      <c r="A529" s="40">
        <v>3204</v>
      </c>
      <c r="B529" s="39" t="s">
        <v>473</v>
      </c>
      <c r="C529" s="40" t="s">
        <v>1281</v>
      </c>
      <c r="D529" s="75" t="s">
        <v>1269</v>
      </c>
      <c r="E529" s="75" t="s">
        <v>1266</v>
      </c>
      <c r="F529" s="75" t="s">
        <v>1268</v>
      </c>
      <c r="G529" s="75" t="s">
        <v>1268</v>
      </c>
    </row>
    <row r="530" spans="1:7" x14ac:dyDescent="0.2">
      <c r="A530" s="40">
        <v>3211</v>
      </c>
      <c r="B530" s="39" t="s">
        <v>474</v>
      </c>
      <c r="C530" s="40" t="s">
        <v>1281</v>
      </c>
      <c r="D530" s="75" t="s">
        <v>1269</v>
      </c>
      <c r="E530" s="75" t="s">
        <v>1266</v>
      </c>
      <c r="F530" s="75" t="s">
        <v>1268</v>
      </c>
      <c r="G530" s="75" t="s">
        <v>1267</v>
      </c>
    </row>
    <row r="531" spans="1:7" x14ac:dyDescent="0.2">
      <c r="A531" s="40">
        <v>3212</v>
      </c>
      <c r="B531" s="39" t="s">
        <v>475</v>
      </c>
      <c r="C531" s="40" t="s">
        <v>1281</v>
      </c>
      <c r="D531" s="75" t="s">
        <v>1269</v>
      </c>
      <c r="E531" s="75" t="s">
        <v>1266</v>
      </c>
      <c r="F531" s="75" t="s">
        <v>1268</v>
      </c>
      <c r="G531" s="75" t="s">
        <v>1267</v>
      </c>
    </row>
    <row r="532" spans="1:7" x14ac:dyDescent="0.2">
      <c r="A532" s="40">
        <v>3213</v>
      </c>
      <c r="B532" s="39" t="s">
        <v>476</v>
      </c>
      <c r="C532" s="40" t="s">
        <v>1281</v>
      </c>
      <c r="D532" s="75" t="s">
        <v>1269</v>
      </c>
      <c r="E532" s="75" t="s">
        <v>1266</v>
      </c>
      <c r="F532" s="75" t="s">
        <v>1268</v>
      </c>
      <c r="G532" s="75" t="s">
        <v>1268</v>
      </c>
    </row>
    <row r="533" spans="1:7" x14ac:dyDescent="0.2">
      <c r="A533" s="40">
        <v>3214</v>
      </c>
      <c r="B533" s="39" t="s">
        <v>477</v>
      </c>
      <c r="C533" s="40" t="s">
        <v>1281</v>
      </c>
      <c r="D533" s="75" t="s">
        <v>1269</v>
      </c>
      <c r="E533" s="75" t="s">
        <v>1266</v>
      </c>
      <c r="F533" s="75" t="s">
        <v>1268</v>
      </c>
      <c r="G533" s="75" t="s">
        <v>1268</v>
      </c>
    </row>
    <row r="534" spans="1:7" x14ac:dyDescent="0.2">
      <c r="A534" s="40">
        <v>3221</v>
      </c>
      <c r="B534" s="39" t="s">
        <v>478</v>
      </c>
      <c r="C534" s="40" t="s">
        <v>1281</v>
      </c>
      <c r="D534" s="75" t="s">
        <v>1269</v>
      </c>
      <c r="E534" s="75" t="s">
        <v>1266</v>
      </c>
      <c r="F534" s="75" t="s">
        <v>1268</v>
      </c>
      <c r="G534" s="75" t="s">
        <v>1267</v>
      </c>
    </row>
    <row r="535" spans="1:7" x14ac:dyDescent="0.2">
      <c r="A535" s="40">
        <v>3222</v>
      </c>
      <c r="B535" s="39" t="s">
        <v>479</v>
      </c>
      <c r="C535" s="40" t="s">
        <v>1281</v>
      </c>
      <c r="D535" s="75" t="s">
        <v>1269</v>
      </c>
      <c r="E535" s="75" t="s">
        <v>1266</v>
      </c>
      <c r="F535" s="75" t="s">
        <v>1268</v>
      </c>
      <c r="G535" s="75" t="s">
        <v>1267</v>
      </c>
    </row>
    <row r="536" spans="1:7" x14ac:dyDescent="0.2">
      <c r="A536" s="40">
        <v>3223</v>
      </c>
      <c r="B536" s="39" t="s">
        <v>480</v>
      </c>
      <c r="C536" s="40" t="s">
        <v>1281</v>
      </c>
      <c r="D536" s="75" t="s">
        <v>1269</v>
      </c>
      <c r="E536" s="75" t="s">
        <v>1266</v>
      </c>
      <c r="F536" s="75" t="s">
        <v>1268</v>
      </c>
      <c r="G536" s="75" t="s">
        <v>1267</v>
      </c>
    </row>
    <row r="537" spans="1:7" x14ac:dyDescent="0.2">
      <c r="A537" s="40">
        <v>3224</v>
      </c>
      <c r="B537" s="39" t="s">
        <v>481</v>
      </c>
      <c r="C537" s="40" t="s">
        <v>1281</v>
      </c>
      <c r="D537" s="75" t="s">
        <v>1269</v>
      </c>
      <c r="E537" s="75" t="s">
        <v>1266</v>
      </c>
      <c r="F537" s="75" t="s">
        <v>1268</v>
      </c>
      <c r="G537" s="75" t="s">
        <v>1267</v>
      </c>
    </row>
    <row r="538" spans="1:7" x14ac:dyDescent="0.2">
      <c r="A538" s="40">
        <v>3231</v>
      </c>
      <c r="B538" s="39" t="s">
        <v>482</v>
      </c>
      <c r="C538" s="40" t="s">
        <v>1281</v>
      </c>
      <c r="D538" s="75" t="s">
        <v>1269</v>
      </c>
      <c r="E538" s="75" t="s">
        <v>1266</v>
      </c>
      <c r="F538" s="75" t="s">
        <v>1268</v>
      </c>
      <c r="G538" s="75" t="s">
        <v>1267</v>
      </c>
    </row>
    <row r="539" spans="1:7" x14ac:dyDescent="0.2">
      <c r="A539" s="40">
        <v>3232</v>
      </c>
      <c r="B539" s="39" t="s">
        <v>483</v>
      </c>
      <c r="C539" s="40" t="s">
        <v>1281</v>
      </c>
      <c r="D539" s="75" t="s">
        <v>1269</v>
      </c>
      <c r="E539" s="75" t="s">
        <v>1266</v>
      </c>
      <c r="F539" s="75" t="s">
        <v>1268</v>
      </c>
      <c r="G539" s="75" t="s">
        <v>1267</v>
      </c>
    </row>
    <row r="540" spans="1:7" x14ac:dyDescent="0.2">
      <c r="A540" s="40">
        <v>3233</v>
      </c>
      <c r="B540" s="39" t="s">
        <v>484</v>
      </c>
      <c r="C540" s="40" t="s">
        <v>1281</v>
      </c>
      <c r="D540" s="75" t="s">
        <v>1269</v>
      </c>
      <c r="E540" s="75" t="s">
        <v>1266</v>
      </c>
      <c r="F540" s="75" t="s">
        <v>1268</v>
      </c>
      <c r="G540" s="75" t="s">
        <v>1267</v>
      </c>
    </row>
    <row r="541" spans="1:7" x14ac:dyDescent="0.2">
      <c r="A541" s="40">
        <v>3240</v>
      </c>
      <c r="B541" s="39" t="s">
        <v>485</v>
      </c>
      <c r="C541" s="40" t="s">
        <v>1281</v>
      </c>
      <c r="D541" s="75" t="s">
        <v>1269</v>
      </c>
      <c r="E541" s="75" t="s">
        <v>1266</v>
      </c>
      <c r="F541" s="75" t="s">
        <v>1268</v>
      </c>
      <c r="G541" s="75" t="s">
        <v>1268</v>
      </c>
    </row>
    <row r="542" spans="1:7" x14ac:dyDescent="0.2">
      <c r="A542" s="40">
        <v>3241</v>
      </c>
      <c r="B542" s="39" t="s">
        <v>486</v>
      </c>
      <c r="C542" s="40" t="s">
        <v>1281</v>
      </c>
      <c r="D542" s="75" t="s">
        <v>1269</v>
      </c>
      <c r="E542" s="75" t="s">
        <v>1266</v>
      </c>
      <c r="F542" s="75" t="s">
        <v>1268</v>
      </c>
      <c r="G542" s="75" t="s">
        <v>1267</v>
      </c>
    </row>
    <row r="543" spans="1:7" x14ac:dyDescent="0.2">
      <c r="A543" s="40">
        <v>3242</v>
      </c>
      <c r="B543" s="39" t="s">
        <v>487</v>
      </c>
      <c r="C543" s="40" t="s">
        <v>1281</v>
      </c>
      <c r="D543" s="75" t="s">
        <v>1269</v>
      </c>
      <c r="E543" s="75" t="s">
        <v>1266</v>
      </c>
      <c r="F543" s="75" t="s">
        <v>1268</v>
      </c>
      <c r="G543" s="75" t="s">
        <v>1267</v>
      </c>
    </row>
    <row r="544" spans="1:7" x14ac:dyDescent="0.2">
      <c r="A544" s="40">
        <v>3243</v>
      </c>
      <c r="B544" s="39" t="s">
        <v>488</v>
      </c>
      <c r="C544" s="40" t="s">
        <v>1281</v>
      </c>
      <c r="D544" s="75" t="s">
        <v>1269</v>
      </c>
      <c r="E544" s="75" t="s">
        <v>1266</v>
      </c>
      <c r="F544" s="75" t="s">
        <v>1268</v>
      </c>
      <c r="G544" s="75" t="s">
        <v>1268</v>
      </c>
    </row>
    <row r="545" spans="1:7" x14ac:dyDescent="0.2">
      <c r="A545" s="40">
        <v>3244</v>
      </c>
      <c r="B545" s="39" t="s">
        <v>489</v>
      </c>
      <c r="C545" s="40" t="s">
        <v>1281</v>
      </c>
      <c r="D545" s="75" t="s">
        <v>1269</v>
      </c>
      <c r="E545" s="75" t="s">
        <v>1266</v>
      </c>
      <c r="F545" s="75" t="s">
        <v>1268</v>
      </c>
      <c r="G545" s="75" t="s">
        <v>1267</v>
      </c>
    </row>
    <row r="546" spans="1:7" x14ac:dyDescent="0.2">
      <c r="A546" s="40">
        <v>3250</v>
      </c>
      <c r="B546" s="39" t="s">
        <v>490</v>
      </c>
      <c r="C546" s="40" t="s">
        <v>1281</v>
      </c>
      <c r="D546" s="75" t="s">
        <v>1269</v>
      </c>
      <c r="E546" s="75" t="s">
        <v>1266</v>
      </c>
      <c r="F546" s="75" t="s">
        <v>1268</v>
      </c>
      <c r="G546" s="75" t="s">
        <v>1268</v>
      </c>
    </row>
    <row r="547" spans="1:7" x14ac:dyDescent="0.2">
      <c r="A547" s="40">
        <v>3251</v>
      </c>
      <c r="B547" s="39" t="s">
        <v>491</v>
      </c>
      <c r="C547" s="40" t="s">
        <v>1281</v>
      </c>
      <c r="D547" s="75" t="s">
        <v>1269</v>
      </c>
      <c r="E547" s="75" t="s">
        <v>1266</v>
      </c>
      <c r="F547" s="75" t="s">
        <v>1268</v>
      </c>
      <c r="G547" s="75" t="s">
        <v>1268</v>
      </c>
    </row>
    <row r="548" spans="1:7" x14ac:dyDescent="0.2">
      <c r="A548" s="40">
        <v>3252</v>
      </c>
      <c r="B548" s="39" t="s">
        <v>492</v>
      </c>
      <c r="C548" s="40" t="s">
        <v>1281</v>
      </c>
      <c r="D548" s="75" t="s">
        <v>1269</v>
      </c>
      <c r="E548" s="75" t="s">
        <v>1266</v>
      </c>
      <c r="F548" s="75" t="s">
        <v>1268</v>
      </c>
      <c r="G548" s="75" t="s">
        <v>1267</v>
      </c>
    </row>
    <row r="549" spans="1:7" x14ac:dyDescent="0.2">
      <c r="A549" s="40">
        <v>3253</v>
      </c>
      <c r="B549" s="39" t="s">
        <v>493</v>
      </c>
      <c r="C549" s="40" t="s">
        <v>1281</v>
      </c>
      <c r="D549" s="75" t="s">
        <v>1269</v>
      </c>
      <c r="E549" s="75" t="s">
        <v>1266</v>
      </c>
      <c r="F549" s="75" t="s">
        <v>1268</v>
      </c>
      <c r="G549" s="75" t="s">
        <v>1267</v>
      </c>
    </row>
    <row r="550" spans="1:7" x14ac:dyDescent="0.2">
      <c r="A550" s="40">
        <v>3261</v>
      </c>
      <c r="B550" s="39" t="s">
        <v>494</v>
      </c>
      <c r="C550" s="40" t="s">
        <v>1281</v>
      </c>
      <c r="D550" s="75" t="s">
        <v>1269</v>
      </c>
      <c r="E550" s="75" t="s">
        <v>1266</v>
      </c>
      <c r="F550" s="75" t="s">
        <v>1268</v>
      </c>
      <c r="G550" s="75" t="s">
        <v>1268</v>
      </c>
    </row>
    <row r="551" spans="1:7" x14ac:dyDescent="0.2">
      <c r="A551" s="40">
        <v>3262</v>
      </c>
      <c r="B551" s="39" t="s">
        <v>495</v>
      </c>
      <c r="C551" s="40" t="s">
        <v>1281</v>
      </c>
      <c r="D551" s="75" t="s">
        <v>1269</v>
      </c>
      <c r="E551" s="75" t="s">
        <v>1266</v>
      </c>
      <c r="F551" s="75" t="s">
        <v>1268</v>
      </c>
      <c r="G551" s="75" t="s">
        <v>1267</v>
      </c>
    </row>
    <row r="552" spans="1:7" x14ac:dyDescent="0.2">
      <c r="A552" s="40">
        <v>3263</v>
      </c>
      <c r="B552" s="39" t="s">
        <v>496</v>
      </c>
      <c r="C552" s="40" t="s">
        <v>1281</v>
      </c>
      <c r="D552" s="75" t="s">
        <v>1269</v>
      </c>
      <c r="E552" s="75" t="s">
        <v>1266</v>
      </c>
      <c r="F552" s="75" t="s">
        <v>1268</v>
      </c>
      <c r="G552" s="75" t="s">
        <v>1267</v>
      </c>
    </row>
    <row r="553" spans="1:7" x14ac:dyDescent="0.2">
      <c r="A553" s="40">
        <v>3264</v>
      </c>
      <c r="B553" s="39" t="s">
        <v>497</v>
      </c>
      <c r="C553" s="40" t="s">
        <v>1281</v>
      </c>
      <c r="D553" s="75" t="s">
        <v>1269</v>
      </c>
      <c r="E553" s="75" t="s">
        <v>1266</v>
      </c>
      <c r="F553" s="75" t="s">
        <v>1268</v>
      </c>
      <c r="G553" s="75" t="s">
        <v>1268</v>
      </c>
    </row>
    <row r="554" spans="1:7" x14ac:dyDescent="0.2">
      <c r="A554" s="40">
        <v>3270</v>
      </c>
      <c r="B554" s="39" t="s">
        <v>498</v>
      </c>
      <c r="C554" s="40" t="s">
        <v>1281</v>
      </c>
      <c r="D554" s="75" t="s">
        <v>1269</v>
      </c>
      <c r="E554" s="75" t="s">
        <v>1266</v>
      </c>
      <c r="F554" s="75" t="s">
        <v>1268</v>
      </c>
      <c r="G554" s="75" t="s">
        <v>1268</v>
      </c>
    </row>
    <row r="555" spans="1:7" x14ac:dyDescent="0.2">
      <c r="A555" s="40">
        <v>3281</v>
      </c>
      <c r="B555" s="39" t="s">
        <v>499</v>
      </c>
      <c r="C555" s="40" t="s">
        <v>1281</v>
      </c>
      <c r="D555" s="75" t="s">
        <v>1269</v>
      </c>
      <c r="E555" s="75" t="s">
        <v>1266</v>
      </c>
      <c r="F555" s="75" t="s">
        <v>1268</v>
      </c>
      <c r="G555" s="75" t="s">
        <v>1268</v>
      </c>
    </row>
    <row r="556" spans="1:7" x14ac:dyDescent="0.2">
      <c r="A556" s="40">
        <v>3282</v>
      </c>
      <c r="B556" s="39" t="s">
        <v>500</v>
      </c>
      <c r="C556" s="40" t="s">
        <v>1281</v>
      </c>
      <c r="D556" s="75" t="s">
        <v>1269</v>
      </c>
      <c r="E556" s="75" t="s">
        <v>1266</v>
      </c>
      <c r="F556" s="75" t="s">
        <v>1268</v>
      </c>
      <c r="G556" s="75" t="s">
        <v>1267</v>
      </c>
    </row>
    <row r="557" spans="1:7" x14ac:dyDescent="0.2">
      <c r="A557" s="40">
        <v>3283</v>
      </c>
      <c r="B557" s="39" t="s">
        <v>501</v>
      </c>
      <c r="C557" s="40" t="s">
        <v>1281</v>
      </c>
      <c r="D557" s="75" t="s">
        <v>1269</v>
      </c>
      <c r="E557" s="75" t="s">
        <v>1266</v>
      </c>
      <c r="F557" s="75" t="s">
        <v>1268</v>
      </c>
      <c r="G557" s="75" t="s">
        <v>1267</v>
      </c>
    </row>
    <row r="558" spans="1:7" x14ac:dyDescent="0.2">
      <c r="A558" s="40">
        <v>3291</v>
      </c>
      <c r="B558" s="39" t="s">
        <v>502</v>
      </c>
      <c r="C558" s="40" t="s">
        <v>1281</v>
      </c>
      <c r="D558" s="75" t="s">
        <v>1269</v>
      </c>
      <c r="E558" s="75" t="s">
        <v>1266</v>
      </c>
      <c r="F558" s="75" t="s">
        <v>1268</v>
      </c>
      <c r="G558" s="75" t="s">
        <v>1267</v>
      </c>
    </row>
    <row r="559" spans="1:7" x14ac:dyDescent="0.2">
      <c r="A559" s="40">
        <v>3292</v>
      </c>
      <c r="B559" s="39" t="s">
        <v>503</v>
      </c>
      <c r="C559" s="40" t="s">
        <v>1281</v>
      </c>
      <c r="D559" s="75" t="s">
        <v>1269</v>
      </c>
      <c r="E559" s="75" t="s">
        <v>1266</v>
      </c>
      <c r="F559" s="75" t="s">
        <v>1268</v>
      </c>
      <c r="G559" s="75" t="s">
        <v>1268</v>
      </c>
    </row>
    <row r="560" spans="1:7" x14ac:dyDescent="0.2">
      <c r="A560" s="40">
        <v>3293</v>
      </c>
      <c r="B560" s="39" t="s">
        <v>504</v>
      </c>
      <c r="C560" s="40" t="s">
        <v>1281</v>
      </c>
      <c r="D560" s="75" t="s">
        <v>1269</v>
      </c>
      <c r="E560" s="75" t="s">
        <v>1266</v>
      </c>
      <c r="F560" s="75" t="s">
        <v>1268</v>
      </c>
      <c r="G560" s="75" t="s">
        <v>1268</v>
      </c>
    </row>
    <row r="561" spans="1:7" x14ac:dyDescent="0.2">
      <c r="A561" s="40">
        <v>3294</v>
      </c>
      <c r="B561" s="39" t="s">
        <v>1313</v>
      </c>
      <c r="C561" s="40" t="s">
        <v>1281</v>
      </c>
      <c r="D561" s="75" t="s">
        <v>1269</v>
      </c>
      <c r="E561" s="75" t="s">
        <v>1266</v>
      </c>
      <c r="F561" s="75" t="s">
        <v>1268</v>
      </c>
      <c r="G561" s="75" t="s">
        <v>1267</v>
      </c>
    </row>
    <row r="562" spans="1:7" x14ac:dyDescent="0.2">
      <c r="A562" s="40">
        <v>3295</v>
      </c>
      <c r="B562" s="39" t="s">
        <v>505</v>
      </c>
      <c r="C562" s="40" t="s">
        <v>1281</v>
      </c>
      <c r="D562" s="75" t="s">
        <v>1269</v>
      </c>
      <c r="E562" s="75" t="s">
        <v>1266</v>
      </c>
      <c r="F562" s="75" t="s">
        <v>1268</v>
      </c>
      <c r="G562" s="75" t="s">
        <v>1267</v>
      </c>
    </row>
    <row r="563" spans="1:7" x14ac:dyDescent="0.2">
      <c r="A563" s="40">
        <v>3300</v>
      </c>
      <c r="B563" s="39" t="s">
        <v>118</v>
      </c>
      <c r="C563" s="40" t="s">
        <v>1281</v>
      </c>
      <c r="D563" s="75" t="s">
        <v>1269</v>
      </c>
      <c r="E563" s="75" t="s">
        <v>1266</v>
      </c>
      <c r="F563" s="75" t="s">
        <v>1268</v>
      </c>
      <c r="G563" s="75" t="s">
        <v>1268</v>
      </c>
    </row>
    <row r="564" spans="1:7" x14ac:dyDescent="0.2">
      <c r="A564" s="40">
        <v>3302</v>
      </c>
      <c r="B564" s="39" t="s">
        <v>506</v>
      </c>
      <c r="C564" s="40" t="s">
        <v>1281</v>
      </c>
      <c r="D564" s="75" t="s">
        <v>1271</v>
      </c>
      <c r="E564" s="75" t="s">
        <v>1266</v>
      </c>
      <c r="F564" s="75" t="s">
        <v>1267</v>
      </c>
      <c r="G564" s="75" t="s">
        <v>1268</v>
      </c>
    </row>
    <row r="565" spans="1:7" x14ac:dyDescent="0.2">
      <c r="A565" s="40">
        <v>3304</v>
      </c>
      <c r="B565" s="39" t="s">
        <v>507</v>
      </c>
      <c r="C565" s="40" t="s">
        <v>1281</v>
      </c>
      <c r="D565" s="75" t="s">
        <v>1269</v>
      </c>
      <c r="E565" s="75" t="s">
        <v>1266</v>
      </c>
      <c r="F565" s="75" t="s">
        <v>1268</v>
      </c>
      <c r="G565" s="75" t="s">
        <v>1267</v>
      </c>
    </row>
    <row r="566" spans="1:7" x14ac:dyDescent="0.2">
      <c r="A566" s="40">
        <v>3311</v>
      </c>
      <c r="B566" s="39" t="s">
        <v>508</v>
      </c>
      <c r="C566" s="40" t="s">
        <v>1281</v>
      </c>
      <c r="D566" s="75" t="s">
        <v>1269</v>
      </c>
      <c r="E566" s="75" t="s">
        <v>1266</v>
      </c>
      <c r="F566" s="75" t="s">
        <v>1268</v>
      </c>
      <c r="G566" s="75" t="s">
        <v>1267</v>
      </c>
    </row>
    <row r="567" spans="1:7" x14ac:dyDescent="0.2">
      <c r="A567" s="40">
        <v>3312</v>
      </c>
      <c r="B567" s="39" t="s">
        <v>1908</v>
      </c>
      <c r="C567" s="40" t="s">
        <v>1281</v>
      </c>
      <c r="D567" s="75" t="s">
        <v>1269</v>
      </c>
      <c r="E567" s="75" t="s">
        <v>1266</v>
      </c>
      <c r="F567" s="75" t="s">
        <v>1268</v>
      </c>
      <c r="G567" s="75" t="s">
        <v>1267</v>
      </c>
    </row>
    <row r="568" spans="1:7" x14ac:dyDescent="0.2">
      <c r="A568" s="40">
        <v>3313</v>
      </c>
      <c r="B568" s="39" t="s">
        <v>509</v>
      </c>
      <c r="C568" s="40" t="s">
        <v>1281</v>
      </c>
      <c r="D568" s="75" t="s">
        <v>1269</v>
      </c>
      <c r="E568" s="75" t="s">
        <v>1266</v>
      </c>
      <c r="F568" s="75" t="s">
        <v>1268</v>
      </c>
      <c r="G568" s="75" t="s">
        <v>1267</v>
      </c>
    </row>
    <row r="569" spans="1:7" x14ac:dyDescent="0.2">
      <c r="A569" s="40">
        <v>3314</v>
      </c>
      <c r="B569" s="39" t="s">
        <v>510</v>
      </c>
      <c r="C569" s="40" t="s">
        <v>1281</v>
      </c>
      <c r="D569" s="75" t="s">
        <v>1269</v>
      </c>
      <c r="E569" s="75" t="s">
        <v>1266</v>
      </c>
      <c r="F569" s="75" t="s">
        <v>1268</v>
      </c>
      <c r="G569" s="75" t="s">
        <v>1268</v>
      </c>
    </row>
    <row r="570" spans="1:7" x14ac:dyDescent="0.2">
      <c r="A570" s="40">
        <v>3321</v>
      </c>
      <c r="B570" s="39" t="s">
        <v>511</v>
      </c>
      <c r="C570" s="40" t="s">
        <v>1281</v>
      </c>
      <c r="D570" s="75" t="s">
        <v>1269</v>
      </c>
      <c r="E570" s="75" t="s">
        <v>1266</v>
      </c>
      <c r="F570" s="75" t="s">
        <v>1268</v>
      </c>
      <c r="G570" s="75" t="s">
        <v>1268</v>
      </c>
    </row>
    <row r="571" spans="1:7" x14ac:dyDescent="0.2">
      <c r="A571" s="40">
        <v>3322</v>
      </c>
      <c r="B571" s="39" t="s">
        <v>512</v>
      </c>
      <c r="C571" s="40" t="s">
        <v>1281</v>
      </c>
      <c r="D571" s="75" t="s">
        <v>1269</v>
      </c>
      <c r="E571" s="75" t="s">
        <v>1266</v>
      </c>
      <c r="F571" s="75" t="s">
        <v>1268</v>
      </c>
      <c r="G571" s="75" t="s">
        <v>1267</v>
      </c>
    </row>
    <row r="572" spans="1:7" x14ac:dyDescent="0.2">
      <c r="A572" s="40">
        <v>3323</v>
      </c>
      <c r="B572" s="39" t="s">
        <v>513</v>
      </c>
      <c r="C572" s="40" t="s">
        <v>1281</v>
      </c>
      <c r="D572" s="75" t="s">
        <v>1269</v>
      </c>
      <c r="E572" s="75" t="s">
        <v>1266</v>
      </c>
      <c r="F572" s="75" t="s">
        <v>1268</v>
      </c>
      <c r="G572" s="75" t="s">
        <v>1267</v>
      </c>
    </row>
    <row r="573" spans="1:7" x14ac:dyDescent="0.2">
      <c r="A573" s="40">
        <v>3324</v>
      </c>
      <c r="B573" s="39" t="s">
        <v>514</v>
      </c>
      <c r="C573" s="40" t="s">
        <v>1281</v>
      </c>
      <c r="D573" s="75" t="s">
        <v>1269</v>
      </c>
      <c r="E573" s="75" t="s">
        <v>1266</v>
      </c>
      <c r="F573" s="75" t="s">
        <v>1268</v>
      </c>
      <c r="G573" s="75" t="s">
        <v>1268</v>
      </c>
    </row>
    <row r="574" spans="1:7" x14ac:dyDescent="0.2">
      <c r="A574" s="40">
        <v>3325</v>
      </c>
      <c r="B574" s="39" t="s">
        <v>515</v>
      </c>
      <c r="C574" s="40" t="s">
        <v>1281</v>
      </c>
      <c r="D574" s="75" t="s">
        <v>1269</v>
      </c>
      <c r="E574" s="75" t="s">
        <v>1266</v>
      </c>
      <c r="F574" s="75" t="s">
        <v>1268</v>
      </c>
      <c r="G574" s="75" t="s">
        <v>1267</v>
      </c>
    </row>
    <row r="575" spans="1:7" x14ac:dyDescent="0.2">
      <c r="A575" s="40">
        <v>3331</v>
      </c>
      <c r="B575" s="39" t="s">
        <v>516</v>
      </c>
      <c r="C575" s="40" t="s">
        <v>1281</v>
      </c>
      <c r="D575" s="75" t="s">
        <v>1269</v>
      </c>
      <c r="E575" s="75" t="s">
        <v>1266</v>
      </c>
      <c r="F575" s="75" t="s">
        <v>1268</v>
      </c>
      <c r="G575" s="75" t="s">
        <v>1268</v>
      </c>
    </row>
    <row r="576" spans="1:7" x14ac:dyDescent="0.2">
      <c r="A576" s="40">
        <v>3332</v>
      </c>
      <c r="B576" s="39" t="s">
        <v>517</v>
      </c>
      <c r="C576" s="40" t="s">
        <v>1281</v>
      </c>
      <c r="D576" s="75" t="s">
        <v>1269</v>
      </c>
      <c r="E576" s="75" t="s">
        <v>1266</v>
      </c>
      <c r="F576" s="75" t="s">
        <v>1268</v>
      </c>
      <c r="G576" s="75" t="s">
        <v>1267</v>
      </c>
    </row>
    <row r="577" spans="1:7" x14ac:dyDescent="0.2">
      <c r="A577" s="40">
        <v>3333</v>
      </c>
      <c r="B577" s="39" t="s">
        <v>518</v>
      </c>
      <c r="C577" s="40" t="s">
        <v>1281</v>
      </c>
      <c r="D577" s="75" t="s">
        <v>1269</v>
      </c>
      <c r="E577" s="75" t="s">
        <v>1266</v>
      </c>
      <c r="F577" s="75" t="s">
        <v>1268</v>
      </c>
      <c r="G577" s="75" t="s">
        <v>1267</v>
      </c>
    </row>
    <row r="578" spans="1:7" x14ac:dyDescent="0.2">
      <c r="A578" s="40">
        <v>3334</v>
      </c>
      <c r="B578" s="39" t="s">
        <v>519</v>
      </c>
      <c r="C578" s="40" t="s">
        <v>520</v>
      </c>
      <c r="D578" s="75" t="s">
        <v>1269</v>
      </c>
      <c r="E578" s="75" t="s">
        <v>1266</v>
      </c>
      <c r="F578" s="75" t="s">
        <v>1268</v>
      </c>
      <c r="G578" s="75" t="s">
        <v>1268</v>
      </c>
    </row>
    <row r="579" spans="1:7" x14ac:dyDescent="0.2">
      <c r="A579" s="40">
        <v>3335</v>
      </c>
      <c r="B579" s="39" t="s">
        <v>521</v>
      </c>
      <c r="C579" s="40" t="s">
        <v>520</v>
      </c>
      <c r="D579" s="75" t="s">
        <v>1269</v>
      </c>
      <c r="E579" s="75" t="s">
        <v>1266</v>
      </c>
      <c r="F579" s="75" t="s">
        <v>1268</v>
      </c>
      <c r="G579" s="75" t="s">
        <v>1268</v>
      </c>
    </row>
    <row r="580" spans="1:7" x14ac:dyDescent="0.2">
      <c r="A580" s="40">
        <v>3340</v>
      </c>
      <c r="B580" s="39" t="s">
        <v>522</v>
      </c>
      <c r="C580" s="40" t="s">
        <v>1281</v>
      </c>
      <c r="D580" s="75" t="s">
        <v>1269</v>
      </c>
      <c r="E580" s="75" t="s">
        <v>1266</v>
      </c>
      <c r="F580" s="75" t="s">
        <v>1268</v>
      </c>
      <c r="G580" s="75" t="s">
        <v>1268</v>
      </c>
    </row>
    <row r="581" spans="1:7" x14ac:dyDescent="0.2">
      <c r="A581" s="40">
        <v>3341</v>
      </c>
      <c r="B581" s="39" t="s">
        <v>523</v>
      </c>
      <c r="C581" s="40" t="s">
        <v>1281</v>
      </c>
      <c r="D581" s="75" t="s">
        <v>1269</v>
      </c>
      <c r="E581" s="75" t="s">
        <v>1266</v>
      </c>
      <c r="F581" s="75" t="s">
        <v>1268</v>
      </c>
      <c r="G581" s="75" t="s">
        <v>1268</v>
      </c>
    </row>
    <row r="582" spans="1:7" x14ac:dyDescent="0.2">
      <c r="A582" s="40">
        <v>3342</v>
      </c>
      <c r="B582" s="39" t="s">
        <v>524</v>
      </c>
      <c r="C582" s="40" t="s">
        <v>1281</v>
      </c>
      <c r="D582" s="75" t="s">
        <v>1269</v>
      </c>
      <c r="E582" s="75" t="s">
        <v>1266</v>
      </c>
      <c r="F582" s="75" t="s">
        <v>1268</v>
      </c>
      <c r="G582" s="75" t="s">
        <v>1267</v>
      </c>
    </row>
    <row r="583" spans="1:7" x14ac:dyDescent="0.2">
      <c r="A583" s="40">
        <v>3343</v>
      </c>
      <c r="B583" s="39" t="s">
        <v>525</v>
      </c>
      <c r="C583" s="40" t="s">
        <v>1281</v>
      </c>
      <c r="D583" s="75" t="s">
        <v>1269</v>
      </c>
      <c r="E583" s="75" t="s">
        <v>1266</v>
      </c>
      <c r="F583" s="75" t="s">
        <v>1268</v>
      </c>
      <c r="G583" s="75" t="s">
        <v>1268</v>
      </c>
    </row>
    <row r="584" spans="1:7" x14ac:dyDescent="0.2">
      <c r="A584" s="40">
        <v>3344</v>
      </c>
      <c r="B584" s="39" t="s">
        <v>526</v>
      </c>
      <c r="C584" s="40" t="s">
        <v>1281</v>
      </c>
      <c r="D584" s="75" t="s">
        <v>1269</v>
      </c>
      <c r="E584" s="75" t="s">
        <v>1266</v>
      </c>
      <c r="F584" s="75" t="s">
        <v>1268</v>
      </c>
      <c r="G584" s="75" t="s">
        <v>1267</v>
      </c>
    </row>
    <row r="585" spans="1:7" x14ac:dyDescent="0.2">
      <c r="A585" s="40">
        <v>3345</v>
      </c>
      <c r="B585" s="39" t="s">
        <v>527</v>
      </c>
      <c r="C585" s="40" t="s">
        <v>1281</v>
      </c>
      <c r="D585" s="75" t="s">
        <v>1269</v>
      </c>
      <c r="E585" s="75" t="s">
        <v>1266</v>
      </c>
      <c r="F585" s="75" t="s">
        <v>1268</v>
      </c>
      <c r="G585" s="75" t="s">
        <v>1268</v>
      </c>
    </row>
    <row r="586" spans="1:7" x14ac:dyDescent="0.2">
      <c r="A586" s="40">
        <v>3350</v>
      </c>
      <c r="B586" s="39" t="s">
        <v>528</v>
      </c>
      <c r="C586" s="40" t="s">
        <v>1281</v>
      </c>
      <c r="D586" s="75" t="s">
        <v>1269</v>
      </c>
      <c r="E586" s="75" t="s">
        <v>1266</v>
      </c>
      <c r="F586" s="75" t="s">
        <v>1268</v>
      </c>
      <c r="G586" s="75" t="s">
        <v>1268</v>
      </c>
    </row>
    <row r="587" spans="1:7" x14ac:dyDescent="0.2">
      <c r="A587" s="40">
        <v>3351</v>
      </c>
      <c r="B587" s="39" t="s">
        <v>529</v>
      </c>
      <c r="C587" s="40" t="s">
        <v>1281</v>
      </c>
      <c r="D587" s="75" t="s">
        <v>1269</v>
      </c>
      <c r="E587" s="75" t="s">
        <v>1266</v>
      </c>
      <c r="F587" s="75" t="s">
        <v>1268</v>
      </c>
      <c r="G587" s="75" t="s">
        <v>1267</v>
      </c>
    </row>
    <row r="588" spans="1:7" x14ac:dyDescent="0.2">
      <c r="A588" s="40">
        <v>3352</v>
      </c>
      <c r="B588" s="39" t="s">
        <v>530</v>
      </c>
      <c r="C588" s="40" t="s">
        <v>1281</v>
      </c>
      <c r="D588" s="75" t="s">
        <v>1269</v>
      </c>
      <c r="E588" s="75" t="s">
        <v>1266</v>
      </c>
      <c r="F588" s="75" t="s">
        <v>1268</v>
      </c>
      <c r="G588" s="75" t="s">
        <v>1268</v>
      </c>
    </row>
    <row r="589" spans="1:7" x14ac:dyDescent="0.2">
      <c r="A589" s="40">
        <v>3353</v>
      </c>
      <c r="B589" s="39" t="s">
        <v>531</v>
      </c>
      <c r="C589" s="40" t="s">
        <v>1281</v>
      </c>
      <c r="D589" s="75" t="s">
        <v>1269</v>
      </c>
      <c r="E589" s="75" t="s">
        <v>1266</v>
      </c>
      <c r="F589" s="75" t="s">
        <v>1268</v>
      </c>
      <c r="G589" s="75" t="s">
        <v>1268</v>
      </c>
    </row>
    <row r="590" spans="1:7" x14ac:dyDescent="0.2">
      <c r="A590" s="40">
        <v>3354</v>
      </c>
      <c r="B590" s="39" t="s">
        <v>532</v>
      </c>
      <c r="C590" s="40" t="s">
        <v>1281</v>
      </c>
      <c r="D590" s="75" t="s">
        <v>1269</v>
      </c>
      <c r="E590" s="75" t="s">
        <v>1266</v>
      </c>
      <c r="F590" s="75" t="s">
        <v>1268</v>
      </c>
      <c r="G590" s="75" t="s">
        <v>1267</v>
      </c>
    </row>
    <row r="591" spans="1:7" x14ac:dyDescent="0.2">
      <c r="A591" s="40">
        <v>3355</v>
      </c>
      <c r="B591" s="39" t="s">
        <v>533</v>
      </c>
      <c r="C591" s="40" t="s">
        <v>1281</v>
      </c>
      <c r="D591" s="75" t="s">
        <v>1269</v>
      </c>
      <c r="E591" s="75" t="s">
        <v>1266</v>
      </c>
      <c r="F591" s="75" t="s">
        <v>1268</v>
      </c>
      <c r="G591" s="75" t="s">
        <v>1267</v>
      </c>
    </row>
    <row r="592" spans="1:7" x14ac:dyDescent="0.2">
      <c r="A592" s="40">
        <v>3361</v>
      </c>
      <c r="B592" s="39" t="s">
        <v>534</v>
      </c>
      <c r="C592" s="40" t="s">
        <v>1281</v>
      </c>
      <c r="D592" s="75" t="s">
        <v>1269</v>
      </c>
      <c r="E592" s="75" t="s">
        <v>1266</v>
      </c>
      <c r="F592" s="75" t="s">
        <v>1268</v>
      </c>
      <c r="G592" s="75" t="s">
        <v>1268</v>
      </c>
    </row>
    <row r="593" spans="1:7" x14ac:dyDescent="0.2">
      <c r="A593" s="40">
        <v>3362</v>
      </c>
      <c r="B593" s="39" t="s">
        <v>535</v>
      </c>
      <c r="C593" s="40" t="s">
        <v>1281</v>
      </c>
      <c r="D593" s="75" t="s">
        <v>1269</v>
      </c>
      <c r="E593" s="75" t="s">
        <v>1266</v>
      </c>
      <c r="F593" s="75" t="s">
        <v>1268</v>
      </c>
      <c r="G593" s="75" t="s">
        <v>1267</v>
      </c>
    </row>
    <row r="594" spans="1:7" x14ac:dyDescent="0.2">
      <c r="A594" s="40">
        <v>3363</v>
      </c>
      <c r="B594" s="39" t="s">
        <v>536</v>
      </c>
      <c r="C594" s="40" t="s">
        <v>1281</v>
      </c>
      <c r="D594" s="75" t="s">
        <v>1269</v>
      </c>
      <c r="E594" s="75" t="s">
        <v>1266</v>
      </c>
      <c r="F594" s="75" t="s">
        <v>1268</v>
      </c>
      <c r="G594" s="75" t="s">
        <v>1268</v>
      </c>
    </row>
    <row r="595" spans="1:7" x14ac:dyDescent="0.2">
      <c r="A595" s="40">
        <v>3364</v>
      </c>
      <c r="B595" s="39" t="s">
        <v>537</v>
      </c>
      <c r="C595" s="40" t="s">
        <v>1281</v>
      </c>
      <c r="D595" s="75" t="s">
        <v>1269</v>
      </c>
      <c r="E595" s="75" t="s">
        <v>1266</v>
      </c>
      <c r="F595" s="75" t="s">
        <v>1268</v>
      </c>
      <c r="G595" s="75" t="s">
        <v>1267</v>
      </c>
    </row>
    <row r="596" spans="1:7" x14ac:dyDescent="0.2">
      <c r="A596" s="40">
        <v>3365</v>
      </c>
      <c r="B596" s="39" t="s">
        <v>1995</v>
      </c>
      <c r="C596" s="40" t="s">
        <v>1281</v>
      </c>
      <c r="D596" s="75" t="s">
        <v>1269</v>
      </c>
      <c r="E596" s="75" t="s">
        <v>1266</v>
      </c>
      <c r="F596" s="75" t="s">
        <v>1268</v>
      </c>
      <c r="G596" s="75" t="s">
        <v>1267</v>
      </c>
    </row>
    <row r="597" spans="1:7" x14ac:dyDescent="0.2">
      <c r="A597" s="40">
        <v>3370</v>
      </c>
      <c r="B597" s="39" t="s">
        <v>1996</v>
      </c>
      <c r="C597" s="40" t="s">
        <v>1281</v>
      </c>
      <c r="D597" s="75" t="s">
        <v>1269</v>
      </c>
      <c r="E597" s="75" t="s">
        <v>1266</v>
      </c>
      <c r="F597" s="75" t="s">
        <v>1268</v>
      </c>
      <c r="G597" s="75" t="s">
        <v>1268</v>
      </c>
    </row>
    <row r="598" spans="1:7" x14ac:dyDescent="0.2">
      <c r="A598" s="40">
        <v>3371</v>
      </c>
      <c r="B598" s="39" t="s">
        <v>1997</v>
      </c>
      <c r="C598" s="40" t="s">
        <v>1281</v>
      </c>
      <c r="D598" s="75" t="s">
        <v>1269</v>
      </c>
      <c r="E598" s="75" t="s">
        <v>1266</v>
      </c>
      <c r="F598" s="75" t="s">
        <v>1268</v>
      </c>
      <c r="G598" s="75" t="s">
        <v>1267</v>
      </c>
    </row>
    <row r="599" spans="1:7" x14ac:dyDescent="0.2">
      <c r="A599" s="40">
        <v>3372</v>
      </c>
      <c r="B599" s="39" t="s">
        <v>1998</v>
      </c>
      <c r="C599" s="40" t="s">
        <v>1281</v>
      </c>
      <c r="D599" s="75" t="s">
        <v>1269</v>
      </c>
      <c r="E599" s="75" t="s">
        <v>1266</v>
      </c>
      <c r="F599" s="75" t="s">
        <v>1268</v>
      </c>
      <c r="G599" s="75" t="s">
        <v>1268</v>
      </c>
    </row>
    <row r="600" spans="1:7" x14ac:dyDescent="0.2">
      <c r="A600" s="40">
        <v>3373</v>
      </c>
      <c r="B600" s="39" t="s">
        <v>1999</v>
      </c>
      <c r="C600" s="40" t="s">
        <v>1281</v>
      </c>
      <c r="D600" s="75" t="s">
        <v>1269</v>
      </c>
      <c r="E600" s="75" t="s">
        <v>1266</v>
      </c>
      <c r="F600" s="75" t="s">
        <v>1268</v>
      </c>
      <c r="G600" s="75" t="s">
        <v>1268</v>
      </c>
    </row>
    <row r="601" spans="1:7" x14ac:dyDescent="0.2">
      <c r="A601" s="40">
        <v>3374</v>
      </c>
      <c r="B601" s="39" t="s">
        <v>2000</v>
      </c>
      <c r="C601" s="40" t="s">
        <v>1281</v>
      </c>
      <c r="D601" s="75" t="s">
        <v>1269</v>
      </c>
      <c r="E601" s="75" t="s">
        <v>1266</v>
      </c>
      <c r="F601" s="75" t="s">
        <v>1268</v>
      </c>
      <c r="G601" s="75" t="s">
        <v>1267</v>
      </c>
    </row>
    <row r="602" spans="1:7" x14ac:dyDescent="0.2">
      <c r="A602" s="40">
        <v>3375</v>
      </c>
      <c r="B602" s="39" t="s">
        <v>2001</v>
      </c>
      <c r="C602" s="40" t="s">
        <v>1281</v>
      </c>
      <c r="D602" s="75" t="s">
        <v>1269</v>
      </c>
      <c r="E602" s="75" t="s">
        <v>1266</v>
      </c>
      <c r="F602" s="75" t="s">
        <v>1268</v>
      </c>
      <c r="G602" s="75" t="s">
        <v>1267</v>
      </c>
    </row>
    <row r="603" spans="1:7" x14ac:dyDescent="0.2">
      <c r="A603" s="40">
        <v>3380</v>
      </c>
      <c r="B603" s="39" t="s">
        <v>2002</v>
      </c>
      <c r="C603" s="40" t="s">
        <v>1281</v>
      </c>
      <c r="D603" s="75" t="s">
        <v>1269</v>
      </c>
      <c r="E603" s="75" t="s">
        <v>1266</v>
      </c>
      <c r="F603" s="75" t="s">
        <v>1268</v>
      </c>
      <c r="G603" s="75" t="s">
        <v>1268</v>
      </c>
    </row>
    <row r="604" spans="1:7" x14ac:dyDescent="0.2">
      <c r="A604" s="40">
        <v>3381</v>
      </c>
      <c r="B604" s="39" t="s">
        <v>2003</v>
      </c>
      <c r="C604" s="40" t="s">
        <v>1281</v>
      </c>
      <c r="D604" s="75" t="s">
        <v>1269</v>
      </c>
      <c r="E604" s="75" t="s">
        <v>1266</v>
      </c>
      <c r="F604" s="75" t="s">
        <v>1268</v>
      </c>
      <c r="G604" s="75" t="s">
        <v>1267</v>
      </c>
    </row>
    <row r="605" spans="1:7" x14ac:dyDescent="0.2">
      <c r="A605" s="40">
        <v>3382</v>
      </c>
      <c r="B605" s="39" t="s">
        <v>1337</v>
      </c>
      <c r="C605" s="40" t="s">
        <v>1281</v>
      </c>
      <c r="D605" s="75" t="s">
        <v>1269</v>
      </c>
      <c r="E605" s="75" t="s">
        <v>1266</v>
      </c>
      <c r="F605" s="75" t="s">
        <v>1268</v>
      </c>
      <c r="G605" s="75" t="s">
        <v>1268</v>
      </c>
    </row>
    <row r="606" spans="1:7" x14ac:dyDescent="0.2">
      <c r="A606" s="40">
        <v>3383</v>
      </c>
      <c r="B606" s="39" t="s">
        <v>2004</v>
      </c>
      <c r="C606" s="40" t="s">
        <v>1281</v>
      </c>
      <c r="D606" s="75" t="s">
        <v>1269</v>
      </c>
      <c r="E606" s="75" t="s">
        <v>1266</v>
      </c>
      <c r="F606" s="75" t="s">
        <v>1268</v>
      </c>
      <c r="G606" s="75" t="s">
        <v>1268</v>
      </c>
    </row>
    <row r="607" spans="1:7" x14ac:dyDescent="0.2">
      <c r="A607" s="40">
        <v>3384</v>
      </c>
      <c r="B607" s="39" t="s">
        <v>2005</v>
      </c>
      <c r="C607" s="40" t="s">
        <v>1281</v>
      </c>
      <c r="D607" s="75" t="s">
        <v>1269</v>
      </c>
      <c r="E607" s="75" t="s">
        <v>1266</v>
      </c>
      <c r="F607" s="75" t="s">
        <v>1268</v>
      </c>
      <c r="G607" s="75" t="s">
        <v>1267</v>
      </c>
    </row>
    <row r="608" spans="1:7" x14ac:dyDescent="0.2">
      <c r="A608" s="40">
        <v>3385</v>
      </c>
      <c r="B608" s="39" t="s">
        <v>2006</v>
      </c>
      <c r="C608" s="40" t="s">
        <v>1281</v>
      </c>
      <c r="D608" s="75" t="s">
        <v>1269</v>
      </c>
      <c r="E608" s="75" t="s">
        <v>1266</v>
      </c>
      <c r="F608" s="75" t="s">
        <v>1268</v>
      </c>
      <c r="G608" s="75" t="s">
        <v>1268</v>
      </c>
    </row>
    <row r="609" spans="1:7" x14ac:dyDescent="0.2">
      <c r="A609" s="40">
        <v>3386</v>
      </c>
      <c r="B609" s="39" t="s">
        <v>2007</v>
      </c>
      <c r="C609" s="40" t="s">
        <v>1281</v>
      </c>
      <c r="D609" s="75" t="s">
        <v>1269</v>
      </c>
      <c r="E609" s="75" t="s">
        <v>1266</v>
      </c>
      <c r="F609" s="75" t="s">
        <v>1268</v>
      </c>
      <c r="G609" s="75" t="s">
        <v>1267</v>
      </c>
    </row>
    <row r="610" spans="1:7" x14ac:dyDescent="0.2">
      <c r="A610" s="40">
        <v>3390</v>
      </c>
      <c r="B610" s="39" t="s">
        <v>2008</v>
      </c>
      <c r="C610" s="40" t="s">
        <v>1281</v>
      </c>
      <c r="D610" s="75" t="s">
        <v>1269</v>
      </c>
      <c r="E610" s="75" t="s">
        <v>1266</v>
      </c>
      <c r="F610" s="75" t="s">
        <v>1268</v>
      </c>
      <c r="G610" s="75" t="s">
        <v>1268</v>
      </c>
    </row>
    <row r="611" spans="1:7" x14ac:dyDescent="0.2">
      <c r="A611" s="40">
        <v>3392</v>
      </c>
      <c r="B611" s="39" t="s">
        <v>2009</v>
      </c>
      <c r="C611" s="40" t="s">
        <v>1281</v>
      </c>
      <c r="D611" s="75" t="s">
        <v>1269</v>
      </c>
      <c r="E611" s="75" t="s">
        <v>1266</v>
      </c>
      <c r="F611" s="75" t="s">
        <v>1268</v>
      </c>
      <c r="G611" s="75" t="s">
        <v>1267</v>
      </c>
    </row>
    <row r="612" spans="1:7" x14ac:dyDescent="0.2">
      <c r="A612" s="40">
        <v>3393</v>
      </c>
      <c r="B612" s="39" t="s">
        <v>2010</v>
      </c>
      <c r="C612" s="40" t="s">
        <v>1281</v>
      </c>
      <c r="D612" s="75" t="s">
        <v>1269</v>
      </c>
      <c r="E612" s="75" t="s">
        <v>1266</v>
      </c>
      <c r="F612" s="75" t="s">
        <v>1268</v>
      </c>
      <c r="G612" s="75" t="s">
        <v>1267</v>
      </c>
    </row>
    <row r="613" spans="1:7" x14ac:dyDescent="0.2">
      <c r="A613" s="40">
        <v>3400</v>
      </c>
      <c r="B613" s="39" t="s">
        <v>2011</v>
      </c>
      <c r="C613" s="40" t="s">
        <v>1281</v>
      </c>
      <c r="D613" s="75" t="s">
        <v>1269</v>
      </c>
      <c r="E613" s="75" t="s">
        <v>1266</v>
      </c>
      <c r="F613" s="75" t="s">
        <v>1268</v>
      </c>
      <c r="G613" s="75" t="s">
        <v>1268</v>
      </c>
    </row>
    <row r="614" spans="1:7" x14ac:dyDescent="0.2">
      <c r="A614" s="40">
        <v>3403</v>
      </c>
      <c r="B614" s="39" t="s">
        <v>2011</v>
      </c>
      <c r="C614" s="40" t="s">
        <v>1281</v>
      </c>
      <c r="D614" s="75" t="s">
        <v>1271</v>
      </c>
      <c r="E614" s="75" t="s">
        <v>1266</v>
      </c>
      <c r="F614" s="75" t="s">
        <v>1267</v>
      </c>
      <c r="G614" s="75" t="s">
        <v>1268</v>
      </c>
    </row>
    <row r="615" spans="1:7" x14ac:dyDescent="0.2">
      <c r="A615" s="40">
        <v>3411</v>
      </c>
      <c r="B615" s="39" t="s">
        <v>2012</v>
      </c>
      <c r="C615" s="40" t="s">
        <v>1281</v>
      </c>
      <c r="D615" s="75" t="s">
        <v>1271</v>
      </c>
      <c r="E615" s="75" t="s">
        <v>1266</v>
      </c>
      <c r="F615" s="75" t="s">
        <v>1267</v>
      </c>
      <c r="G615" s="75" t="s">
        <v>1268</v>
      </c>
    </row>
    <row r="616" spans="1:7" x14ac:dyDescent="0.2">
      <c r="A616" s="40">
        <v>3412</v>
      </c>
      <c r="B616" s="39" t="s">
        <v>2013</v>
      </c>
      <c r="C616" s="40" t="s">
        <v>1281</v>
      </c>
      <c r="D616" s="75" t="s">
        <v>1271</v>
      </c>
      <c r="E616" s="75" t="s">
        <v>1266</v>
      </c>
      <c r="F616" s="75" t="s">
        <v>1267</v>
      </c>
      <c r="G616" s="75" t="s">
        <v>1268</v>
      </c>
    </row>
    <row r="617" spans="1:7" x14ac:dyDescent="0.2">
      <c r="A617" s="40">
        <v>3413</v>
      </c>
      <c r="B617" s="39" t="s">
        <v>2014</v>
      </c>
      <c r="C617" s="40" t="s">
        <v>1281</v>
      </c>
      <c r="D617" s="75" t="s">
        <v>1269</v>
      </c>
      <c r="E617" s="75" t="s">
        <v>1266</v>
      </c>
      <c r="F617" s="75" t="s">
        <v>1268</v>
      </c>
      <c r="G617" s="75" t="s">
        <v>1267</v>
      </c>
    </row>
    <row r="618" spans="1:7" x14ac:dyDescent="0.2">
      <c r="A618" s="40">
        <v>3420</v>
      </c>
      <c r="B618" s="39" t="s">
        <v>2015</v>
      </c>
      <c r="C618" s="40" t="s">
        <v>1281</v>
      </c>
      <c r="D618" s="75" t="s">
        <v>1269</v>
      </c>
      <c r="E618" s="75" t="s">
        <v>1266</v>
      </c>
      <c r="F618" s="75" t="s">
        <v>1268</v>
      </c>
      <c r="G618" s="75" t="s">
        <v>1268</v>
      </c>
    </row>
    <row r="619" spans="1:7" x14ac:dyDescent="0.2">
      <c r="A619" s="40">
        <v>3421</v>
      </c>
      <c r="B619" s="39" t="s">
        <v>2016</v>
      </c>
      <c r="C619" s="40" t="s">
        <v>1281</v>
      </c>
      <c r="D619" s="75" t="s">
        <v>1269</v>
      </c>
      <c r="E619" s="75" t="s">
        <v>1266</v>
      </c>
      <c r="F619" s="75" t="s">
        <v>1268</v>
      </c>
      <c r="G619" s="75" t="s">
        <v>1267</v>
      </c>
    </row>
    <row r="620" spans="1:7" x14ac:dyDescent="0.2">
      <c r="A620" s="40">
        <v>3422</v>
      </c>
      <c r="B620" s="39" t="s">
        <v>2017</v>
      </c>
      <c r="C620" s="40" t="s">
        <v>1281</v>
      </c>
      <c r="D620" s="75" t="s">
        <v>1269</v>
      </c>
      <c r="E620" s="75" t="s">
        <v>1266</v>
      </c>
      <c r="F620" s="75" t="s">
        <v>1268</v>
      </c>
      <c r="G620" s="75" t="s">
        <v>1267</v>
      </c>
    </row>
    <row r="621" spans="1:7" x14ac:dyDescent="0.2">
      <c r="A621" s="40">
        <v>3423</v>
      </c>
      <c r="B621" s="39" t="s">
        <v>2018</v>
      </c>
      <c r="C621" s="40" t="s">
        <v>1281</v>
      </c>
      <c r="D621" s="75" t="s">
        <v>1269</v>
      </c>
      <c r="E621" s="75" t="s">
        <v>1266</v>
      </c>
      <c r="F621" s="75" t="s">
        <v>1268</v>
      </c>
      <c r="G621" s="75" t="s">
        <v>1268</v>
      </c>
    </row>
    <row r="622" spans="1:7" x14ac:dyDescent="0.2">
      <c r="A622" s="40">
        <v>3424</v>
      </c>
      <c r="B622" s="39" t="s">
        <v>2019</v>
      </c>
      <c r="C622" s="40" t="s">
        <v>1281</v>
      </c>
      <c r="D622" s="75" t="s">
        <v>1269</v>
      </c>
      <c r="E622" s="75" t="s">
        <v>1266</v>
      </c>
      <c r="F622" s="75" t="s">
        <v>1268</v>
      </c>
      <c r="G622" s="75" t="s">
        <v>1268</v>
      </c>
    </row>
    <row r="623" spans="1:7" x14ac:dyDescent="0.2">
      <c r="A623" s="40">
        <v>3425</v>
      </c>
      <c r="B623" s="39" t="s">
        <v>2020</v>
      </c>
      <c r="C623" s="40" t="s">
        <v>1281</v>
      </c>
      <c r="D623" s="75" t="s">
        <v>1269</v>
      </c>
      <c r="E623" s="75" t="s">
        <v>1266</v>
      </c>
      <c r="F623" s="75" t="s">
        <v>1268</v>
      </c>
      <c r="G623" s="75" t="s">
        <v>1268</v>
      </c>
    </row>
    <row r="624" spans="1:7" x14ac:dyDescent="0.2">
      <c r="A624" s="40">
        <v>3430</v>
      </c>
      <c r="B624" s="39" t="s">
        <v>2021</v>
      </c>
      <c r="C624" s="40" t="s">
        <v>1281</v>
      </c>
      <c r="D624" s="75" t="s">
        <v>1269</v>
      </c>
      <c r="E624" s="75" t="s">
        <v>1266</v>
      </c>
      <c r="F624" s="75" t="s">
        <v>1268</v>
      </c>
      <c r="G624" s="75" t="s">
        <v>1268</v>
      </c>
    </row>
    <row r="625" spans="1:7" x14ac:dyDescent="0.2">
      <c r="A625" s="40">
        <v>3433</v>
      </c>
      <c r="B625" s="39" t="s">
        <v>2022</v>
      </c>
      <c r="C625" s="40" t="s">
        <v>1281</v>
      </c>
      <c r="D625" s="75" t="s">
        <v>1269</v>
      </c>
      <c r="E625" s="75" t="s">
        <v>1266</v>
      </c>
      <c r="F625" s="75" t="s">
        <v>1268</v>
      </c>
      <c r="G625" s="75" t="s">
        <v>1267</v>
      </c>
    </row>
    <row r="626" spans="1:7" x14ac:dyDescent="0.2">
      <c r="A626" s="40">
        <v>3434</v>
      </c>
      <c r="B626" s="39" t="s">
        <v>2023</v>
      </c>
      <c r="C626" s="40" t="s">
        <v>1281</v>
      </c>
      <c r="D626" s="75" t="s">
        <v>1269</v>
      </c>
      <c r="E626" s="75" t="s">
        <v>1266</v>
      </c>
      <c r="F626" s="75" t="s">
        <v>1268</v>
      </c>
      <c r="G626" s="75" t="s">
        <v>1268</v>
      </c>
    </row>
    <row r="627" spans="1:7" x14ac:dyDescent="0.2">
      <c r="A627" s="40">
        <v>3435</v>
      </c>
      <c r="B627" s="39" t="s">
        <v>2024</v>
      </c>
      <c r="C627" s="40" t="s">
        <v>1281</v>
      </c>
      <c r="D627" s="75" t="s">
        <v>1269</v>
      </c>
      <c r="E627" s="75" t="s">
        <v>1266</v>
      </c>
      <c r="F627" s="75" t="s">
        <v>1268</v>
      </c>
      <c r="G627" s="75" t="s">
        <v>1268</v>
      </c>
    </row>
    <row r="628" spans="1:7" x14ac:dyDescent="0.2">
      <c r="A628" s="40">
        <v>3441</v>
      </c>
      <c r="B628" s="39" t="s">
        <v>2025</v>
      </c>
      <c r="C628" s="40" t="s">
        <v>1281</v>
      </c>
      <c r="D628" s="75" t="s">
        <v>1269</v>
      </c>
      <c r="E628" s="75" t="s">
        <v>1266</v>
      </c>
      <c r="F628" s="75" t="s">
        <v>1268</v>
      </c>
      <c r="G628" s="75" t="s">
        <v>1267</v>
      </c>
    </row>
    <row r="629" spans="1:7" x14ac:dyDescent="0.2">
      <c r="A629" s="40">
        <v>3442</v>
      </c>
      <c r="B629" s="39" t="s">
        <v>2026</v>
      </c>
      <c r="C629" s="40" t="s">
        <v>1281</v>
      </c>
      <c r="D629" s="75" t="s">
        <v>1269</v>
      </c>
      <c r="E629" s="75" t="s">
        <v>1266</v>
      </c>
      <c r="F629" s="75" t="s">
        <v>1268</v>
      </c>
      <c r="G629" s="75" t="s">
        <v>1267</v>
      </c>
    </row>
    <row r="630" spans="1:7" x14ac:dyDescent="0.2">
      <c r="A630" s="40">
        <v>3443</v>
      </c>
      <c r="B630" s="39" t="s">
        <v>2027</v>
      </c>
      <c r="C630" s="40" t="s">
        <v>1281</v>
      </c>
      <c r="D630" s="75" t="s">
        <v>1269</v>
      </c>
      <c r="E630" s="75" t="s">
        <v>1266</v>
      </c>
      <c r="F630" s="75" t="s">
        <v>1268</v>
      </c>
      <c r="G630" s="75" t="s">
        <v>1268</v>
      </c>
    </row>
    <row r="631" spans="1:7" x14ac:dyDescent="0.2">
      <c r="A631" s="40">
        <v>3451</v>
      </c>
      <c r="B631" s="39" t="s">
        <v>2028</v>
      </c>
      <c r="C631" s="40" t="s">
        <v>1281</v>
      </c>
      <c r="D631" s="75" t="s">
        <v>1269</v>
      </c>
      <c r="E631" s="75" t="s">
        <v>1266</v>
      </c>
      <c r="F631" s="75" t="s">
        <v>1268</v>
      </c>
      <c r="G631" s="75" t="s">
        <v>1268</v>
      </c>
    </row>
    <row r="632" spans="1:7" x14ac:dyDescent="0.2">
      <c r="A632" s="40">
        <v>3452</v>
      </c>
      <c r="B632" s="39" t="s">
        <v>2029</v>
      </c>
      <c r="C632" s="40" t="s">
        <v>1281</v>
      </c>
      <c r="D632" s="75" t="s">
        <v>1269</v>
      </c>
      <c r="E632" s="75" t="s">
        <v>1266</v>
      </c>
      <c r="F632" s="75" t="s">
        <v>1268</v>
      </c>
      <c r="G632" s="75" t="s">
        <v>1268</v>
      </c>
    </row>
    <row r="633" spans="1:7" x14ac:dyDescent="0.2">
      <c r="A633" s="40">
        <v>3454</v>
      </c>
      <c r="B633" s="39" t="s">
        <v>2030</v>
      </c>
      <c r="C633" s="40" t="s">
        <v>1281</v>
      </c>
      <c r="D633" s="75" t="s">
        <v>1269</v>
      </c>
      <c r="E633" s="75" t="s">
        <v>1266</v>
      </c>
      <c r="F633" s="75" t="s">
        <v>1268</v>
      </c>
      <c r="G633" s="75" t="s">
        <v>1268</v>
      </c>
    </row>
    <row r="634" spans="1:7" x14ac:dyDescent="0.2">
      <c r="A634" s="40">
        <v>3462</v>
      </c>
      <c r="B634" s="39" t="s">
        <v>2031</v>
      </c>
      <c r="C634" s="40" t="s">
        <v>1281</v>
      </c>
      <c r="D634" s="75" t="s">
        <v>1269</v>
      </c>
      <c r="E634" s="75" t="s">
        <v>1266</v>
      </c>
      <c r="F634" s="75" t="s">
        <v>1268</v>
      </c>
      <c r="G634" s="75" t="s">
        <v>1268</v>
      </c>
    </row>
    <row r="635" spans="1:7" x14ac:dyDescent="0.2">
      <c r="A635" s="40">
        <v>3463</v>
      </c>
      <c r="B635" s="39" t="s">
        <v>2032</v>
      </c>
      <c r="C635" s="40" t="s">
        <v>1281</v>
      </c>
      <c r="D635" s="75" t="s">
        <v>1269</v>
      </c>
      <c r="E635" s="75" t="s">
        <v>1266</v>
      </c>
      <c r="F635" s="75" t="s">
        <v>1268</v>
      </c>
      <c r="G635" s="75" t="s">
        <v>1267</v>
      </c>
    </row>
    <row r="636" spans="1:7" x14ac:dyDescent="0.2">
      <c r="A636" s="40">
        <v>3464</v>
      </c>
      <c r="B636" s="39" t="s">
        <v>2033</v>
      </c>
      <c r="C636" s="40" t="s">
        <v>1281</v>
      </c>
      <c r="D636" s="75" t="s">
        <v>1269</v>
      </c>
      <c r="E636" s="75" t="s">
        <v>1266</v>
      </c>
      <c r="F636" s="75" t="s">
        <v>1268</v>
      </c>
      <c r="G636" s="75" t="s">
        <v>1268</v>
      </c>
    </row>
    <row r="637" spans="1:7" x14ac:dyDescent="0.2">
      <c r="A637" s="40">
        <v>3465</v>
      </c>
      <c r="B637" s="39" t="s">
        <v>2034</v>
      </c>
      <c r="C637" s="40" t="s">
        <v>1281</v>
      </c>
      <c r="D637" s="75" t="s">
        <v>1269</v>
      </c>
      <c r="E637" s="75" t="s">
        <v>1266</v>
      </c>
      <c r="F637" s="75" t="s">
        <v>1268</v>
      </c>
      <c r="G637" s="75" t="s">
        <v>1268</v>
      </c>
    </row>
    <row r="638" spans="1:7" x14ac:dyDescent="0.2">
      <c r="A638" s="40">
        <v>3470</v>
      </c>
      <c r="B638" s="39" t="s">
        <v>2035</v>
      </c>
      <c r="C638" s="40" t="s">
        <v>1281</v>
      </c>
      <c r="D638" s="75" t="s">
        <v>1269</v>
      </c>
      <c r="E638" s="75" t="s">
        <v>1266</v>
      </c>
      <c r="F638" s="75" t="s">
        <v>1268</v>
      </c>
      <c r="G638" s="75" t="s">
        <v>1268</v>
      </c>
    </row>
    <row r="639" spans="1:7" x14ac:dyDescent="0.2">
      <c r="A639" s="40">
        <v>3471</v>
      </c>
      <c r="B639" s="39" t="s">
        <v>2036</v>
      </c>
      <c r="C639" s="40" t="s">
        <v>1281</v>
      </c>
      <c r="D639" s="75" t="s">
        <v>1269</v>
      </c>
      <c r="E639" s="75" t="s">
        <v>1266</v>
      </c>
      <c r="F639" s="75" t="s">
        <v>1268</v>
      </c>
      <c r="G639" s="75" t="s">
        <v>1268</v>
      </c>
    </row>
    <row r="640" spans="1:7" x14ac:dyDescent="0.2">
      <c r="A640" s="40">
        <v>3472</v>
      </c>
      <c r="B640" s="39" t="s">
        <v>2037</v>
      </c>
      <c r="C640" s="40" t="s">
        <v>1281</v>
      </c>
      <c r="D640" s="75" t="s">
        <v>1269</v>
      </c>
      <c r="E640" s="75" t="s">
        <v>1266</v>
      </c>
      <c r="F640" s="75" t="s">
        <v>1268</v>
      </c>
      <c r="G640" s="75" t="s">
        <v>1267</v>
      </c>
    </row>
    <row r="641" spans="1:7" x14ac:dyDescent="0.2">
      <c r="A641" s="40">
        <v>3473</v>
      </c>
      <c r="B641" s="39" t="s">
        <v>2038</v>
      </c>
      <c r="C641" s="40" t="s">
        <v>1281</v>
      </c>
      <c r="D641" s="75" t="s">
        <v>1269</v>
      </c>
      <c r="E641" s="75" t="s">
        <v>1266</v>
      </c>
      <c r="F641" s="75" t="s">
        <v>1268</v>
      </c>
      <c r="G641" s="75" t="s">
        <v>1267</v>
      </c>
    </row>
    <row r="642" spans="1:7" x14ac:dyDescent="0.2">
      <c r="A642" s="40">
        <v>3474</v>
      </c>
      <c r="B642" s="39" t="s">
        <v>2052</v>
      </c>
      <c r="C642" s="40" t="s">
        <v>1281</v>
      </c>
      <c r="D642" s="75" t="s">
        <v>1269</v>
      </c>
      <c r="E642" s="75" t="s">
        <v>1266</v>
      </c>
      <c r="F642" s="75" t="s">
        <v>1268</v>
      </c>
      <c r="G642" s="75" t="s">
        <v>1267</v>
      </c>
    </row>
    <row r="643" spans="1:7" x14ac:dyDescent="0.2">
      <c r="A643" s="40">
        <v>3481</v>
      </c>
      <c r="B643" s="39" t="s">
        <v>2054</v>
      </c>
      <c r="C643" s="40" t="s">
        <v>1281</v>
      </c>
      <c r="D643" s="75" t="s">
        <v>1269</v>
      </c>
      <c r="E643" s="75" t="s">
        <v>1266</v>
      </c>
      <c r="F643" s="75" t="s">
        <v>1268</v>
      </c>
      <c r="G643" s="75" t="s">
        <v>1268</v>
      </c>
    </row>
    <row r="644" spans="1:7" x14ac:dyDescent="0.2">
      <c r="A644" s="40">
        <v>3482</v>
      </c>
      <c r="B644" s="39" t="s">
        <v>2055</v>
      </c>
      <c r="C644" s="40" t="s">
        <v>1281</v>
      </c>
      <c r="D644" s="75" t="s">
        <v>1269</v>
      </c>
      <c r="E644" s="75" t="s">
        <v>1266</v>
      </c>
      <c r="F644" s="75" t="s">
        <v>1268</v>
      </c>
      <c r="G644" s="75" t="s">
        <v>1267</v>
      </c>
    </row>
    <row r="645" spans="1:7" x14ac:dyDescent="0.2">
      <c r="A645" s="40">
        <v>3483</v>
      </c>
      <c r="B645" s="39" t="s">
        <v>2056</v>
      </c>
      <c r="C645" s="40" t="s">
        <v>1281</v>
      </c>
      <c r="D645" s="75" t="s">
        <v>1269</v>
      </c>
      <c r="E645" s="75" t="s">
        <v>1266</v>
      </c>
      <c r="F645" s="75" t="s">
        <v>1268</v>
      </c>
      <c r="G645" s="75" t="s">
        <v>1267</v>
      </c>
    </row>
    <row r="646" spans="1:7" x14ac:dyDescent="0.2">
      <c r="A646" s="40">
        <v>3484</v>
      </c>
      <c r="B646" s="39" t="s">
        <v>2057</v>
      </c>
      <c r="C646" s="40" t="s">
        <v>1281</v>
      </c>
      <c r="D646" s="75" t="s">
        <v>1269</v>
      </c>
      <c r="E646" s="75" t="s">
        <v>1266</v>
      </c>
      <c r="F646" s="75" t="s">
        <v>1268</v>
      </c>
      <c r="G646" s="75" t="s">
        <v>1268</v>
      </c>
    </row>
    <row r="647" spans="1:7" x14ac:dyDescent="0.2">
      <c r="A647" s="40">
        <v>3485</v>
      </c>
      <c r="B647" s="39" t="s">
        <v>2058</v>
      </c>
      <c r="C647" s="40" t="s">
        <v>1281</v>
      </c>
      <c r="D647" s="75" t="s">
        <v>1269</v>
      </c>
      <c r="E647" s="75" t="s">
        <v>1266</v>
      </c>
      <c r="F647" s="75" t="s">
        <v>1268</v>
      </c>
      <c r="G647" s="75" t="s">
        <v>1267</v>
      </c>
    </row>
    <row r="648" spans="1:7" x14ac:dyDescent="0.2">
      <c r="A648" s="40">
        <v>3491</v>
      </c>
      <c r="B648" s="39" t="s">
        <v>2059</v>
      </c>
      <c r="C648" s="40" t="s">
        <v>1281</v>
      </c>
      <c r="D648" s="75" t="s">
        <v>1269</v>
      </c>
      <c r="E648" s="75" t="s">
        <v>1266</v>
      </c>
      <c r="F648" s="75" t="s">
        <v>1268</v>
      </c>
      <c r="G648" s="75" t="s">
        <v>1268</v>
      </c>
    </row>
    <row r="649" spans="1:7" x14ac:dyDescent="0.2">
      <c r="A649" s="40">
        <v>3492</v>
      </c>
      <c r="B649" s="39" t="s">
        <v>2060</v>
      </c>
      <c r="C649" s="40" t="s">
        <v>1281</v>
      </c>
      <c r="D649" s="75" t="s">
        <v>1269</v>
      </c>
      <c r="E649" s="75" t="s">
        <v>1266</v>
      </c>
      <c r="F649" s="75" t="s">
        <v>1268</v>
      </c>
      <c r="G649" s="75" t="s">
        <v>1268</v>
      </c>
    </row>
    <row r="650" spans="1:7" x14ac:dyDescent="0.2">
      <c r="A650" s="40">
        <v>3493</v>
      </c>
      <c r="B650" s="39" t="s">
        <v>2061</v>
      </c>
      <c r="C650" s="40" t="s">
        <v>1281</v>
      </c>
      <c r="D650" s="75" t="s">
        <v>1269</v>
      </c>
      <c r="E650" s="75" t="s">
        <v>1266</v>
      </c>
      <c r="F650" s="75" t="s">
        <v>1268</v>
      </c>
      <c r="G650" s="75" t="s">
        <v>1268</v>
      </c>
    </row>
    <row r="651" spans="1:7" x14ac:dyDescent="0.2">
      <c r="A651" s="40">
        <v>3494</v>
      </c>
      <c r="B651" s="39" t="s">
        <v>2062</v>
      </c>
      <c r="C651" s="40" t="s">
        <v>1281</v>
      </c>
      <c r="D651" s="75" t="s">
        <v>1269</v>
      </c>
      <c r="E651" s="75" t="s">
        <v>1266</v>
      </c>
      <c r="F651" s="75" t="s">
        <v>1268</v>
      </c>
      <c r="G651" s="75" t="s">
        <v>1268</v>
      </c>
    </row>
    <row r="652" spans="1:7" x14ac:dyDescent="0.2">
      <c r="A652" s="40">
        <v>3495</v>
      </c>
      <c r="B652" s="39" t="s">
        <v>2063</v>
      </c>
      <c r="C652" s="40" t="s">
        <v>1281</v>
      </c>
      <c r="D652" s="75" t="s">
        <v>1269</v>
      </c>
      <c r="E652" s="75" t="s">
        <v>1266</v>
      </c>
      <c r="F652" s="75" t="s">
        <v>1268</v>
      </c>
      <c r="G652" s="75" t="s">
        <v>1267</v>
      </c>
    </row>
    <row r="653" spans="1:7" x14ac:dyDescent="0.2">
      <c r="A653" s="40">
        <v>3500</v>
      </c>
      <c r="B653" s="39" t="s">
        <v>2064</v>
      </c>
      <c r="C653" s="40" t="s">
        <v>1281</v>
      </c>
      <c r="D653" s="75" t="s">
        <v>1269</v>
      </c>
      <c r="E653" s="75" t="s">
        <v>1266</v>
      </c>
      <c r="F653" s="75" t="s">
        <v>1268</v>
      </c>
      <c r="G653" s="75" t="s">
        <v>1268</v>
      </c>
    </row>
    <row r="654" spans="1:7" x14ac:dyDescent="0.2">
      <c r="A654" s="40">
        <v>3502</v>
      </c>
      <c r="B654" s="39" t="s">
        <v>2065</v>
      </c>
      <c r="C654" s="40" t="s">
        <v>1281</v>
      </c>
      <c r="D654" s="75" t="s">
        <v>1271</v>
      </c>
      <c r="E654" s="75" t="s">
        <v>1266</v>
      </c>
      <c r="F654" s="75" t="s">
        <v>1267</v>
      </c>
      <c r="G654" s="75" t="s">
        <v>1268</v>
      </c>
    </row>
    <row r="655" spans="1:7" x14ac:dyDescent="0.2">
      <c r="A655" s="40">
        <v>3504</v>
      </c>
      <c r="B655" s="39" t="s">
        <v>2066</v>
      </c>
      <c r="C655" s="40" t="s">
        <v>1281</v>
      </c>
      <c r="D655" s="75" t="s">
        <v>1271</v>
      </c>
      <c r="E655" s="75" t="s">
        <v>1266</v>
      </c>
      <c r="F655" s="75" t="s">
        <v>1267</v>
      </c>
      <c r="G655" s="75" t="s">
        <v>1268</v>
      </c>
    </row>
    <row r="656" spans="1:7" x14ac:dyDescent="0.2">
      <c r="A656" s="40">
        <v>3506</v>
      </c>
      <c r="B656" s="39" t="s">
        <v>2067</v>
      </c>
      <c r="C656" s="40" t="s">
        <v>1281</v>
      </c>
      <c r="D656" s="75" t="s">
        <v>1269</v>
      </c>
      <c r="E656" s="75" t="s">
        <v>1266</v>
      </c>
      <c r="F656" s="75" t="s">
        <v>1268</v>
      </c>
      <c r="G656" s="75" t="s">
        <v>1267</v>
      </c>
    </row>
    <row r="657" spans="1:7" x14ac:dyDescent="0.2">
      <c r="A657" s="40">
        <v>3507</v>
      </c>
      <c r="B657" s="39" t="s">
        <v>2068</v>
      </c>
      <c r="C657" s="40" t="s">
        <v>1281</v>
      </c>
      <c r="D657" s="75" t="s">
        <v>1271</v>
      </c>
      <c r="E657" s="75" t="s">
        <v>1266</v>
      </c>
      <c r="F657" s="75" t="s">
        <v>1267</v>
      </c>
      <c r="G657" s="75" t="s">
        <v>1268</v>
      </c>
    </row>
    <row r="658" spans="1:7" x14ac:dyDescent="0.2">
      <c r="A658" s="40">
        <v>3508</v>
      </c>
      <c r="B658" s="39" t="s">
        <v>2069</v>
      </c>
      <c r="C658" s="40" t="s">
        <v>1281</v>
      </c>
      <c r="D658" s="75" t="s">
        <v>1269</v>
      </c>
      <c r="E658" s="75" t="s">
        <v>1266</v>
      </c>
      <c r="F658" s="75" t="s">
        <v>1268</v>
      </c>
      <c r="G658" s="75" t="s">
        <v>1267</v>
      </c>
    </row>
    <row r="659" spans="1:7" x14ac:dyDescent="0.2">
      <c r="A659" s="40">
        <v>3511</v>
      </c>
      <c r="B659" s="39" t="s">
        <v>2070</v>
      </c>
      <c r="C659" s="40" t="s">
        <v>1281</v>
      </c>
      <c r="D659" s="75" t="s">
        <v>1269</v>
      </c>
      <c r="E659" s="75" t="s">
        <v>1266</v>
      </c>
      <c r="F659" s="75" t="s">
        <v>1268</v>
      </c>
      <c r="G659" s="75" t="s">
        <v>1268</v>
      </c>
    </row>
    <row r="660" spans="1:7" x14ac:dyDescent="0.2">
      <c r="A660" s="40">
        <v>3512</v>
      </c>
      <c r="B660" s="39" t="s">
        <v>2071</v>
      </c>
      <c r="C660" s="40" t="s">
        <v>1281</v>
      </c>
      <c r="D660" s="75" t="s">
        <v>1269</v>
      </c>
      <c r="E660" s="75" t="s">
        <v>1266</v>
      </c>
      <c r="F660" s="75" t="s">
        <v>1268</v>
      </c>
      <c r="G660" s="75" t="s">
        <v>1268</v>
      </c>
    </row>
    <row r="661" spans="1:7" x14ac:dyDescent="0.2">
      <c r="A661" s="40">
        <v>3521</v>
      </c>
      <c r="B661" s="39" t="s">
        <v>2072</v>
      </c>
      <c r="C661" s="40" t="s">
        <v>1281</v>
      </c>
      <c r="D661" s="75" t="s">
        <v>1269</v>
      </c>
      <c r="E661" s="75" t="s">
        <v>1266</v>
      </c>
      <c r="F661" s="75" t="s">
        <v>1268</v>
      </c>
      <c r="G661" s="75" t="s">
        <v>1267</v>
      </c>
    </row>
    <row r="662" spans="1:7" x14ac:dyDescent="0.2">
      <c r="A662" s="40">
        <v>3522</v>
      </c>
      <c r="B662" s="39" t="s">
        <v>2073</v>
      </c>
      <c r="C662" s="40" t="s">
        <v>1281</v>
      </c>
      <c r="D662" s="75" t="s">
        <v>1269</v>
      </c>
      <c r="E662" s="75" t="s">
        <v>1266</v>
      </c>
      <c r="F662" s="75" t="s">
        <v>1268</v>
      </c>
      <c r="G662" s="75" t="s">
        <v>1267</v>
      </c>
    </row>
    <row r="663" spans="1:7" x14ac:dyDescent="0.2">
      <c r="A663" s="40">
        <v>3524</v>
      </c>
      <c r="B663" s="39" t="s">
        <v>2074</v>
      </c>
      <c r="C663" s="40" t="s">
        <v>1281</v>
      </c>
      <c r="D663" s="75" t="s">
        <v>1269</v>
      </c>
      <c r="E663" s="75" t="s">
        <v>1266</v>
      </c>
      <c r="F663" s="75" t="s">
        <v>1268</v>
      </c>
      <c r="G663" s="75" t="s">
        <v>1268</v>
      </c>
    </row>
    <row r="664" spans="1:7" x14ac:dyDescent="0.2">
      <c r="A664" s="40">
        <v>3525</v>
      </c>
      <c r="B664" s="39" t="s">
        <v>2075</v>
      </c>
      <c r="C664" s="40" t="s">
        <v>1281</v>
      </c>
      <c r="D664" s="75" t="s">
        <v>1269</v>
      </c>
      <c r="E664" s="75" t="s">
        <v>1266</v>
      </c>
      <c r="F664" s="75" t="s">
        <v>1268</v>
      </c>
      <c r="G664" s="75" t="s">
        <v>1267</v>
      </c>
    </row>
    <row r="665" spans="1:7" x14ac:dyDescent="0.2">
      <c r="A665" s="40">
        <v>3531</v>
      </c>
      <c r="B665" s="39" t="s">
        <v>2078</v>
      </c>
      <c r="C665" s="40" t="s">
        <v>1281</v>
      </c>
      <c r="D665" s="75" t="s">
        <v>1269</v>
      </c>
      <c r="E665" s="75" t="s">
        <v>1266</v>
      </c>
      <c r="F665" s="75" t="s">
        <v>1268</v>
      </c>
      <c r="G665" s="75" t="s">
        <v>1267</v>
      </c>
    </row>
    <row r="666" spans="1:7" x14ac:dyDescent="0.2">
      <c r="A666" s="40">
        <v>3532</v>
      </c>
      <c r="B666" s="39" t="s">
        <v>2079</v>
      </c>
      <c r="C666" s="40" t="s">
        <v>1281</v>
      </c>
      <c r="D666" s="75" t="s">
        <v>1269</v>
      </c>
      <c r="E666" s="75" t="s">
        <v>1266</v>
      </c>
      <c r="F666" s="75" t="s">
        <v>1268</v>
      </c>
      <c r="G666" s="75" t="s">
        <v>1268</v>
      </c>
    </row>
    <row r="667" spans="1:7" x14ac:dyDescent="0.2">
      <c r="A667" s="40">
        <v>3533</v>
      </c>
      <c r="B667" s="39" t="s">
        <v>2080</v>
      </c>
      <c r="C667" s="40" t="s">
        <v>1281</v>
      </c>
      <c r="D667" s="75" t="s">
        <v>1269</v>
      </c>
      <c r="E667" s="75" t="s">
        <v>1266</v>
      </c>
      <c r="F667" s="75" t="s">
        <v>1268</v>
      </c>
      <c r="G667" s="75" t="s">
        <v>1267</v>
      </c>
    </row>
    <row r="668" spans="1:7" x14ac:dyDescent="0.2">
      <c r="A668" s="40">
        <v>3541</v>
      </c>
      <c r="B668" s="39" t="s">
        <v>2081</v>
      </c>
      <c r="C668" s="40" t="s">
        <v>1281</v>
      </c>
      <c r="D668" s="75" t="s">
        <v>1269</v>
      </c>
      <c r="E668" s="75" t="s">
        <v>1266</v>
      </c>
      <c r="F668" s="75" t="s">
        <v>1268</v>
      </c>
      <c r="G668" s="75" t="s">
        <v>1268</v>
      </c>
    </row>
    <row r="669" spans="1:7" x14ac:dyDescent="0.2">
      <c r="A669" s="40">
        <v>3542</v>
      </c>
      <c r="B669" s="39" t="s">
        <v>2082</v>
      </c>
      <c r="C669" s="40" t="s">
        <v>1281</v>
      </c>
      <c r="D669" s="75" t="s">
        <v>1269</v>
      </c>
      <c r="E669" s="75" t="s">
        <v>1266</v>
      </c>
      <c r="F669" s="75" t="s">
        <v>1268</v>
      </c>
      <c r="G669" s="75" t="s">
        <v>1268</v>
      </c>
    </row>
    <row r="670" spans="1:7" x14ac:dyDescent="0.2">
      <c r="A670" s="40">
        <v>3543</v>
      </c>
      <c r="B670" s="39" t="s">
        <v>2083</v>
      </c>
      <c r="C670" s="40" t="s">
        <v>1281</v>
      </c>
      <c r="D670" s="75" t="s">
        <v>1269</v>
      </c>
      <c r="E670" s="75" t="s">
        <v>1266</v>
      </c>
      <c r="F670" s="75" t="s">
        <v>1268</v>
      </c>
      <c r="G670" s="75" t="s">
        <v>1267</v>
      </c>
    </row>
    <row r="671" spans="1:7" x14ac:dyDescent="0.2">
      <c r="A671" s="40">
        <v>3544</v>
      </c>
      <c r="B671" s="39" t="s">
        <v>2084</v>
      </c>
      <c r="C671" s="40" t="s">
        <v>1281</v>
      </c>
      <c r="D671" s="75" t="s">
        <v>1269</v>
      </c>
      <c r="E671" s="75" t="s">
        <v>1266</v>
      </c>
      <c r="F671" s="75" t="s">
        <v>1268</v>
      </c>
      <c r="G671" s="75" t="s">
        <v>1267</v>
      </c>
    </row>
    <row r="672" spans="1:7" x14ac:dyDescent="0.2">
      <c r="A672" s="40">
        <v>3550</v>
      </c>
      <c r="B672" s="39" t="s">
        <v>2085</v>
      </c>
      <c r="C672" s="40" t="s">
        <v>1281</v>
      </c>
      <c r="D672" s="75" t="s">
        <v>1269</v>
      </c>
      <c r="E672" s="75" t="s">
        <v>1266</v>
      </c>
      <c r="F672" s="75" t="s">
        <v>1268</v>
      </c>
      <c r="G672" s="75" t="s">
        <v>1268</v>
      </c>
    </row>
    <row r="673" spans="1:7" x14ac:dyDescent="0.2">
      <c r="A673" s="40">
        <v>3552</v>
      </c>
      <c r="B673" s="39" t="s">
        <v>2086</v>
      </c>
      <c r="C673" s="40" t="s">
        <v>1281</v>
      </c>
      <c r="D673" s="75" t="s">
        <v>1269</v>
      </c>
      <c r="E673" s="75" t="s">
        <v>1266</v>
      </c>
      <c r="F673" s="75" t="s">
        <v>1268</v>
      </c>
      <c r="G673" s="75" t="s">
        <v>1268</v>
      </c>
    </row>
    <row r="674" spans="1:7" x14ac:dyDescent="0.2">
      <c r="A674" s="40">
        <v>3553</v>
      </c>
      <c r="B674" s="39" t="s">
        <v>2087</v>
      </c>
      <c r="C674" s="40" t="s">
        <v>1281</v>
      </c>
      <c r="D674" s="75" t="s">
        <v>1269</v>
      </c>
      <c r="E674" s="75" t="s">
        <v>1266</v>
      </c>
      <c r="F674" s="75" t="s">
        <v>1268</v>
      </c>
      <c r="G674" s="75" t="s">
        <v>1268</v>
      </c>
    </row>
    <row r="675" spans="1:7" x14ac:dyDescent="0.2">
      <c r="A675" s="40">
        <v>3561</v>
      </c>
      <c r="B675" s="39" t="s">
        <v>2088</v>
      </c>
      <c r="C675" s="40" t="s">
        <v>1281</v>
      </c>
      <c r="D675" s="75" t="s">
        <v>1269</v>
      </c>
      <c r="E675" s="75" t="s">
        <v>1266</v>
      </c>
      <c r="F675" s="75" t="s">
        <v>1268</v>
      </c>
      <c r="G675" s="75" t="s">
        <v>1267</v>
      </c>
    </row>
    <row r="676" spans="1:7" x14ac:dyDescent="0.2">
      <c r="A676" s="40">
        <v>3562</v>
      </c>
      <c r="B676" s="39" t="s">
        <v>2089</v>
      </c>
      <c r="C676" s="40" t="s">
        <v>1281</v>
      </c>
      <c r="D676" s="75" t="s">
        <v>1269</v>
      </c>
      <c r="E676" s="75" t="s">
        <v>1266</v>
      </c>
      <c r="F676" s="75" t="s">
        <v>1268</v>
      </c>
      <c r="G676" s="75" t="s">
        <v>1267</v>
      </c>
    </row>
    <row r="677" spans="1:7" x14ac:dyDescent="0.2">
      <c r="A677" s="40">
        <v>3564</v>
      </c>
      <c r="B677" s="39" t="s">
        <v>2090</v>
      </c>
      <c r="C677" s="40" t="s">
        <v>1281</v>
      </c>
      <c r="D677" s="75" t="s">
        <v>1269</v>
      </c>
      <c r="E677" s="75" t="s">
        <v>1266</v>
      </c>
      <c r="F677" s="75" t="s">
        <v>1268</v>
      </c>
      <c r="G677" s="75" t="s">
        <v>1267</v>
      </c>
    </row>
    <row r="678" spans="1:7" x14ac:dyDescent="0.2">
      <c r="A678" s="40">
        <v>3571</v>
      </c>
      <c r="B678" s="39" t="s">
        <v>2091</v>
      </c>
      <c r="C678" s="40" t="s">
        <v>1281</v>
      </c>
      <c r="D678" s="75" t="s">
        <v>1269</v>
      </c>
      <c r="E678" s="75" t="s">
        <v>1266</v>
      </c>
      <c r="F678" s="75" t="s">
        <v>1268</v>
      </c>
      <c r="G678" s="75" t="s">
        <v>1268</v>
      </c>
    </row>
    <row r="679" spans="1:7" x14ac:dyDescent="0.2">
      <c r="A679" s="40">
        <v>3572</v>
      </c>
      <c r="B679" s="39" t="s">
        <v>2092</v>
      </c>
      <c r="C679" s="40" t="s">
        <v>1281</v>
      </c>
      <c r="D679" s="75" t="s">
        <v>1269</v>
      </c>
      <c r="E679" s="75" t="s">
        <v>1266</v>
      </c>
      <c r="F679" s="75" t="s">
        <v>1268</v>
      </c>
      <c r="G679" s="75" t="s">
        <v>1267</v>
      </c>
    </row>
    <row r="680" spans="1:7" x14ac:dyDescent="0.2">
      <c r="A680" s="40">
        <v>3573</v>
      </c>
      <c r="B680" s="39" t="s">
        <v>2093</v>
      </c>
      <c r="C680" s="40" t="s">
        <v>1281</v>
      </c>
      <c r="D680" s="75" t="s">
        <v>1269</v>
      </c>
      <c r="E680" s="75" t="s">
        <v>1266</v>
      </c>
      <c r="F680" s="75" t="s">
        <v>1268</v>
      </c>
      <c r="G680" s="75" t="s">
        <v>1267</v>
      </c>
    </row>
    <row r="681" spans="1:7" x14ac:dyDescent="0.2">
      <c r="A681" s="40">
        <v>3580</v>
      </c>
      <c r="B681" s="39" t="s">
        <v>2094</v>
      </c>
      <c r="C681" s="40" t="s">
        <v>1281</v>
      </c>
      <c r="D681" s="75" t="s">
        <v>1269</v>
      </c>
      <c r="E681" s="75" t="s">
        <v>1266</v>
      </c>
      <c r="F681" s="75" t="s">
        <v>1268</v>
      </c>
      <c r="G681" s="75" t="s">
        <v>1268</v>
      </c>
    </row>
    <row r="682" spans="1:7" x14ac:dyDescent="0.2">
      <c r="A682" s="40">
        <v>3591</v>
      </c>
      <c r="B682" s="39" t="s">
        <v>2095</v>
      </c>
      <c r="C682" s="40" t="s">
        <v>1281</v>
      </c>
      <c r="D682" s="75" t="s">
        <v>1269</v>
      </c>
      <c r="E682" s="75" t="s">
        <v>1266</v>
      </c>
      <c r="F682" s="75" t="s">
        <v>1268</v>
      </c>
      <c r="G682" s="75" t="s">
        <v>1267</v>
      </c>
    </row>
    <row r="683" spans="1:7" x14ac:dyDescent="0.2">
      <c r="A683" s="40">
        <v>3592</v>
      </c>
      <c r="B683" s="39" t="s">
        <v>2096</v>
      </c>
      <c r="C683" s="40" t="s">
        <v>1281</v>
      </c>
      <c r="D683" s="75" t="s">
        <v>1269</v>
      </c>
      <c r="E683" s="75" t="s">
        <v>1266</v>
      </c>
      <c r="F683" s="75" t="s">
        <v>1268</v>
      </c>
      <c r="G683" s="75" t="s">
        <v>1267</v>
      </c>
    </row>
    <row r="684" spans="1:7" x14ac:dyDescent="0.2">
      <c r="A684" s="40">
        <v>3593</v>
      </c>
      <c r="B684" s="39" t="s">
        <v>2097</v>
      </c>
      <c r="C684" s="40" t="s">
        <v>1281</v>
      </c>
      <c r="D684" s="75" t="s">
        <v>1269</v>
      </c>
      <c r="E684" s="75" t="s">
        <v>1266</v>
      </c>
      <c r="F684" s="75" t="s">
        <v>1268</v>
      </c>
      <c r="G684" s="75" t="s">
        <v>1268</v>
      </c>
    </row>
    <row r="685" spans="1:7" x14ac:dyDescent="0.2">
      <c r="A685" s="40">
        <v>3594</v>
      </c>
      <c r="B685" s="39" t="s">
        <v>2098</v>
      </c>
      <c r="C685" s="40" t="s">
        <v>1281</v>
      </c>
      <c r="D685" s="75" t="s">
        <v>1269</v>
      </c>
      <c r="E685" s="75" t="s">
        <v>1266</v>
      </c>
      <c r="F685" s="75" t="s">
        <v>1268</v>
      </c>
      <c r="G685" s="75" t="s">
        <v>1267</v>
      </c>
    </row>
    <row r="686" spans="1:7" x14ac:dyDescent="0.2">
      <c r="A686" s="40">
        <v>3595</v>
      </c>
      <c r="B686" s="39" t="s">
        <v>2099</v>
      </c>
      <c r="C686" s="40" t="s">
        <v>1281</v>
      </c>
      <c r="D686" s="75" t="s">
        <v>1269</v>
      </c>
      <c r="E686" s="75" t="s">
        <v>1266</v>
      </c>
      <c r="F686" s="75" t="s">
        <v>1268</v>
      </c>
      <c r="G686" s="75" t="s">
        <v>1267</v>
      </c>
    </row>
    <row r="687" spans="1:7" x14ac:dyDescent="0.2">
      <c r="A687" s="40">
        <v>3601</v>
      </c>
      <c r="B687" s="39" t="s">
        <v>2100</v>
      </c>
      <c r="C687" s="40" t="s">
        <v>1281</v>
      </c>
      <c r="D687" s="75" t="s">
        <v>1269</v>
      </c>
      <c r="E687" s="75" t="s">
        <v>1266</v>
      </c>
      <c r="F687" s="75" t="s">
        <v>1268</v>
      </c>
      <c r="G687" s="75" t="s">
        <v>1267</v>
      </c>
    </row>
    <row r="688" spans="1:7" x14ac:dyDescent="0.2">
      <c r="A688" s="40">
        <v>3602</v>
      </c>
      <c r="B688" s="39" t="s">
        <v>2101</v>
      </c>
      <c r="C688" s="40" t="s">
        <v>1281</v>
      </c>
      <c r="D688" s="75" t="s">
        <v>1269</v>
      </c>
      <c r="E688" s="75" t="s">
        <v>1266</v>
      </c>
      <c r="F688" s="75" t="s">
        <v>1268</v>
      </c>
      <c r="G688" s="75" t="s">
        <v>1267</v>
      </c>
    </row>
    <row r="689" spans="1:7" x14ac:dyDescent="0.2">
      <c r="A689" s="40">
        <v>3610</v>
      </c>
      <c r="B689" s="39" t="s">
        <v>2102</v>
      </c>
      <c r="C689" s="40" t="s">
        <v>1281</v>
      </c>
      <c r="D689" s="75" t="s">
        <v>1269</v>
      </c>
      <c r="E689" s="75" t="s">
        <v>1266</v>
      </c>
      <c r="F689" s="75" t="s">
        <v>1268</v>
      </c>
      <c r="G689" s="75" t="s">
        <v>1268</v>
      </c>
    </row>
    <row r="690" spans="1:7" x14ac:dyDescent="0.2">
      <c r="A690" s="40">
        <v>3611</v>
      </c>
      <c r="B690" s="39" t="s">
        <v>2103</v>
      </c>
      <c r="C690" s="40" t="s">
        <v>1281</v>
      </c>
      <c r="D690" s="75" t="s">
        <v>1269</v>
      </c>
      <c r="E690" s="75" t="s">
        <v>1266</v>
      </c>
      <c r="F690" s="75" t="s">
        <v>1268</v>
      </c>
      <c r="G690" s="75" t="s">
        <v>1268</v>
      </c>
    </row>
    <row r="691" spans="1:7" x14ac:dyDescent="0.2">
      <c r="A691" s="40">
        <v>3613</v>
      </c>
      <c r="B691" s="39" t="s">
        <v>538</v>
      </c>
      <c r="C691" s="40" t="s">
        <v>1281</v>
      </c>
      <c r="D691" s="75" t="s">
        <v>1269</v>
      </c>
      <c r="E691" s="75" t="s">
        <v>1266</v>
      </c>
      <c r="F691" s="75" t="s">
        <v>1268</v>
      </c>
      <c r="G691" s="75" t="s">
        <v>1267</v>
      </c>
    </row>
    <row r="692" spans="1:7" x14ac:dyDescent="0.2">
      <c r="A692" s="40">
        <v>3620</v>
      </c>
      <c r="B692" s="39" t="s">
        <v>539</v>
      </c>
      <c r="C692" s="40" t="s">
        <v>1281</v>
      </c>
      <c r="D692" s="75" t="s">
        <v>1269</v>
      </c>
      <c r="E692" s="75" t="s">
        <v>1266</v>
      </c>
      <c r="F692" s="75" t="s">
        <v>1268</v>
      </c>
      <c r="G692" s="75" t="s">
        <v>1268</v>
      </c>
    </row>
    <row r="693" spans="1:7" x14ac:dyDescent="0.2">
      <c r="A693" s="40">
        <v>3621</v>
      </c>
      <c r="B693" s="39" t="s">
        <v>540</v>
      </c>
      <c r="C693" s="40" t="s">
        <v>1281</v>
      </c>
      <c r="D693" s="75" t="s">
        <v>1269</v>
      </c>
      <c r="E693" s="75" t="s">
        <v>1266</v>
      </c>
      <c r="F693" s="75" t="s">
        <v>1268</v>
      </c>
      <c r="G693" s="75" t="s">
        <v>1267</v>
      </c>
    </row>
    <row r="694" spans="1:7" x14ac:dyDescent="0.2">
      <c r="A694" s="40">
        <v>3622</v>
      </c>
      <c r="B694" s="39" t="s">
        <v>541</v>
      </c>
      <c r="C694" s="40" t="s">
        <v>1281</v>
      </c>
      <c r="D694" s="75" t="s">
        <v>1269</v>
      </c>
      <c r="E694" s="75" t="s">
        <v>1266</v>
      </c>
      <c r="F694" s="75" t="s">
        <v>1268</v>
      </c>
      <c r="G694" s="75" t="s">
        <v>1268</v>
      </c>
    </row>
    <row r="695" spans="1:7" x14ac:dyDescent="0.2">
      <c r="A695" s="40">
        <v>3623</v>
      </c>
      <c r="B695" s="39" t="s">
        <v>542</v>
      </c>
      <c r="C695" s="40" t="s">
        <v>1281</v>
      </c>
      <c r="D695" s="75" t="s">
        <v>1269</v>
      </c>
      <c r="E695" s="75" t="s">
        <v>1266</v>
      </c>
      <c r="F695" s="75" t="s">
        <v>1268</v>
      </c>
      <c r="G695" s="75" t="s">
        <v>1267</v>
      </c>
    </row>
    <row r="696" spans="1:7" x14ac:dyDescent="0.2">
      <c r="A696" s="40">
        <v>3631</v>
      </c>
      <c r="B696" s="39" t="s">
        <v>543</v>
      </c>
      <c r="C696" s="40" t="s">
        <v>1281</v>
      </c>
      <c r="D696" s="75" t="s">
        <v>1269</v>
      </c>
      <c r="E696" s="75" t="s">
        <v>1266</v>
      </c>
      <c r="F696" s="75" t="s">
        <v>1268</v>
      </c>
      <c r="G696" s="75" t="s">
        <v>1268</v>
      </c>
    </row>
    <row r="697" spans="1:7" x14ac:dyDescent="0.2">
      <c r="A697" s="40">
        <v>3632</v>
      </c>
      <c r="B697" s="39" t="s">
        <v>544</v>
      </c>
      <c r="C697" s="40" t="s">
        <v>1281</v>
      </c>
      <c r="D697" s="75" t="s">
        <v>1269</v>
      </c>
      <c r="E697" s="75" t="s">
        <v>1266</v>
      </c>
      <c r="F697" s="75" t="s">
        <v>1268</v>
      </c>
      <c r="G697" s="75" t="s">
        <v>1268</v>
      </c>
    </row>
    <row r="698" spans="1:7" x14ac:dyDescent="0.2">
      <c r="A698" s="40">
        <v>3633</v>
      </c>
      <c r="B698" s="39" t="s">
        <v>545</v>
      </c>
      <c r="C698" s="40" t="s">
        <v>1281</v>
      </c>
      <c r="D698" s="75" t="s">
        <v>1269</v>
      </c>
      <c r="E698" s="75" t="s">
        <v>1266</v>
      </c>
      <c r="F698" s="75" t="s">
        <v>1268</v>
      </c>
      <c r="G698" s="75" t="s">
        <v>1267</v>
      </c>
    </row>
    <row r="699" spans="1:7" x14ac:dyDescent="0.2">
      <c r="A699" s="40">
        <v>3641</v>
      </c>
      <c r="B699" s="39" t="s">
        <v>546</v>
      </c>
      <c r="C699" s="40" t="s">
        <v>1281</v>
      </c>
      <c r="D699" s="75" t="s">
        <v>1269</v>
      </c>
      <c r="E699" s="75" t="s">
        <v>1266</v>
      </c>
      <c r="F699" s="75" t="s">
        <v>1268</v>
      </c>
      <c r="G699" s="75" t="s">
        <v>1267</v>
      </c>
    </row>
    <row r="700" spans="1:7" x14ac:dyDescent="0.2">
      <c r="A700" s="40">
        <v>3642</v>
      </c>
      <c r="B700" s="39" t="s">
        <v>547</v>
      </c>
      <c r="C700" s="40" t="s">
        <v>1281</v>
      </c>
      <c r="D700" s="75" t="s">
        <v>1269</v>
      </c>
      <c r="E700" s="75" t="s">
        <v>1266</v>
      </c>
      <c r="F700" s="75" t="s">
        <v>1268</v>
      </c>
      <c r="G700" s="75" t="s">
        <v>1267</v>
      </c>
    </row>
    <row r="701" spans="1:7" x14ac:dyDescent="0.2">
      <c r="A701" s="40">
        <v>3643</v>
      </c>
      <c r="B701" s="39" t="s">
        <v>548</v>
      </c>
      <c r="C701" s="40" t="s">
        <v>1281</v>
      </c>
      <c r="D701" s="75" t="s">
        <v>1269</v>
      </c>
      <c r="E701" s="75" t="s">
        <v>1266</v>
      </c>
      <c r="F701" s="75" t="s">
        <v>1268</v>
      </c>
      <c r="G701" s="75" t="s">
        <v>1268</v>
      </c>
    </row>
    <row r="702" spans="1:7" x14ac:dyDescent="0.2">
      <c r="A702" s="40">
        <v>3644</v>
      </c>
      <c r="B702" s="39" t="s">
        <v>549</v>
      </c>
      <c r="C702" s="40" t="s">
        <v>1281</v>
      </c>
      <c r="D702" s="75" t="s">
        <v>1269</v>
      </c>
      <c r="E702" s="75" t="s">
        <v>1266</v>
      </c>
      <c r="F702" s="75" t="s">
        <v>1268</v>
      </c>
      <c r="G702" s="75" t="s">
        <v>1267</v>
      </c>
    </row>
    <row r="703" spans="1:7" x14ac:dyDescent="0.2">
      <c r="A703" s="40">
        <v>3650</v>
      </c>
      <c r="B703" s="39" t="s">
        <v>550</v>
      </c>
      <c r="C703" s="40" t="s">
        <v>1281</v>
      </c>
      <c r="D703" s="75" t="s">
        <v>1269</v>
      </c>
      <c r="E703" s="75" t="s">
        <v>1266</v>
      </c>
      <c r="F703" s="75" t="s">
        <v>1268</v>
      </c>
      <c r="G703" s="75" t="s">
        <v>1268</v>
      </c>
    </row>
    <row r="704" spans="1:7" x14ac:dyDescent="0.2">
      <c r="A704" s="40">
        <v>3652</v>
      </c>
      <c r="B704" s="39" t="s">
        <v>551</v>
      </c>
      <c r="C704" s="40" t="s">
        <v>1281</v>
      </c>
      <c r="D704" s="75" t="s">
        <v>1269</v>
      </c>
      <c r="E704" s="75" t="s">
        <v>1266</v>
      </c>
      <c r="F704" s="75" t="s">
        <v>1268</v>
      </c>
      <c r="G704" s="75" t="s">
        <v>1267</v>
      </c>
    </row>
    <row r="705" spans="1:7" x14ac:dyDescent="0.2">
      <c r="A705" s="40">
        <v>3653</v>
      </c>
      <c r="B705" s="39" t="s">
        <v>552</v>
      </c>
      <c r="C705" s="40" t="s">
        <v>1281</v>
      </c>
      <c r="D705" s="75" t="s">
        <v>1269</v>
      </c>
      <c r="E705" s="75" t="s">
        <v>1266</v>
      </c>
      <c r="F705" s="75" t="s">
        <v>1268</v>
      </c>
      <c r="G705" s="75" t="s">
        <v>1268</v>
      </c>
    </row>
    <row r="706" spans="1:7" x14ac:dyDescent="0.2">
      <c r="A706" s="40">
        <v>3654</v>
      </c>
      <c r="B706" s="39" t="s">
        <v>553</v>
      </c>
      <c r="C706" s="40" t="s">
        <v>1281</v>
      </c>
      <c r="D706" s="75" t="s">
        <v>1269</v>
      </c>
      <c r="E706" s="75" t="s">
        <v>1266</v>
      </c>
      <c r="F706" s="75" t="s">
        <v>1268</v>
      </c>
      <c r="G706" s="75" t="s">
        <v>1268</v>
      </c>
    </row>
    <row r="707" spans="1:7" x14ac:dyDescent="0.2">
      <c r="A707" s="40">
        <v>3660</v>
      </c>
      <c r="B707" s="39" t="s">
        <v>554</v>
      </c>
      <c r="C707" s="40" t="s">
        <v>1281</v>
      </c>
      <c r="D707" s="75" t="s">
        <v>1269</v>
      </c>
      <c r="E707" s="75" t="s">
        <v>1266</v>
      </c>
      <c r="F707" s="75" t="s">
        <v>1268</v>
      </c>
      <c r="G707" s="75" t="s">
        <v>1267</v>
      </c>
    </row>
    <row r="708" spans="1:7" x14ac:dyDescent="0.2">
      <c r="A708" s="40">
        <v>3661</v>
      </c>
      <c r="B708" s="39" t="s">
        <v>555</v>
      </c>
      <c r="C708" s="40" t="s">
        <v>1281</v>
      </c>
      <c r="D708" s="75" t="s">
        <v>1269</v>
      </c>
      <c r="E708" s="75" t="s">
        <v>1266</v>
      </c>
      <c r="F708" s="75" t="s">
        <v>1268</v>
      </c>
      <c r="G708" s="75" t="s">
        <v>1268</v>
      </c>
    </row>
    <row r="709" spans="1:7" x14ac:dyDescent="0.2">
      <c r="A709" s="40">
        <v>3662</v>
      </c>
      <c r="B709" s="39" t="s">
        <v>556</v>
      </c>
      <c r="C709" s="40" t="s">
        <v>1281</v>
      </c>
      <c r="D709" s="75" t="s">
        <v>1269</v>
      </c>
      <c r="E709" s="75" t="s">
        <v>1266</v>
      </c>
      <c r="F709" s="75" t="s">
        <v>1268</v>
      </c>
      <c r="G709" s="75" t="s">
        <v>1267</v>
      </c>
    </row>
    <row r="710" spans="1:7" x14ac:dyDescent="0.2">
      <c r="A710" s="40">
        <v>3663</v>
      </c>
      <c r="B710" s="39" t="s">
        <v>557</v>
      </c>
      <c r="C710" s="40" t="s">
        <v>1281</v>
      </c>
      <c r="D710" s="75" t="s">
        <v>1269</v>
      </c>
      <c r="E710" s="75" t="s">
        <v>1266</v>
      </c>
      <c r="F710" s="75" t="s">
        <v>1268</v>
      </c>
      <c r="G710" s="75" t="s">
        <v>1267</v>
      </c>
    </row>
    <row r="711" spans="1:7" x14ac:dyDescent="0.2">
      <c r="A711" s="40">
        <v>3664</v>
      </c>
      <c r="B711" s="39" t="s">
        <v>558</v>
      </c>
      <c r="C711" s="40" t="s">
        <v>1281</v>
      </c>
      <c r="D711" s="75" t="s">
        <v>1269</v>
      </c>
      <c r="E711" s="75" t="s">
        <v>1266</v>
      </c>
      <c r="F711" s="75" t="s">
        <v>1268</v>
      </c>
      <c r="G711" s="75" t="s">
        <v>1268</v>
      </c>
    </row>
    <row r="712" spans="1:7" x14ac:dyDescent="0.2">
      <c r="A712" s="40">
        <v>3665</v>
      </c>
      <c r="B712" s="39" t="s">
        <v>559</v>
      </c>
      <c r="C712" s="40" t="s">
        <v>1281</v>
      </c>
      <c r="D712" s="75" t="s">
        <v>1269</v>
      </c>
      <c r="E712" s="75" t="s">
        <v>1266</v>
      </c>
      <c r="F712" s="75" t="s">
        <v>1268</v>
      </c>
      <c r="G712" s="75" t="s">
        <v>1267</v>
      </c>
    </row>
    <row r="713" spans="1:7" x14ac:dyDescent="0.2">
      <c r="A713" s="40">
        <v>3671</v>
      </c>
      <c r="B713" s="39" t="s">
        <v>560</v>
      </c>
      <c r="C713" s="40" t="s">
        <v>1281</v>
      </c>
      <c r="D713" s="75" t="s">
        <v>1269</v>
      </c>
      <c r="E713" s="75" t="s">
        <v>1266</v>
      </c>
      <c r="F713" s="75" t="s">
        <v>1268</v>
      </c>
      <c r="G713" s="75" t="s">
        <v>1268</v>
      </c>
    </row>
    <row r="714" spans="1:7" x14ac:dyDescent="0.2">
      <c r="A714" s="40">
        <v>3672</v>
      </c>
      <c r="B714" s="39" t="s">
        <v>561</v>
      </c>
      <c r="C714" s="40" t="s">
        <v>1281</v>
      </c>
      <c r="D714" s="75" t="s">
        <v>1269</v>
      </c>
      <c r="E714" s="75" t="s">
        <v>1266</v>
      </c>
      <c r="F714" s="75" t="s">
        <v>1268</v>
      </c>
      <c r="G714" s="75" t="s">
        <v>1268</v>
      </c>
    </row>
    <row r="715" spans="1:7" x14ac:dyDescent="0.2">
      <c r="A715" s="40">
        <v>3680</v>
      </c>
      <c r="B715" s="39" t="s">
        <v>562</v>
      </c>
      <c r="C715" s="40" t="s">
        <v>1281</v>
      </c>
      <c r="D715" s="75" t="s">
        <v>1269</v>
      </c>
      <c r="E715" s="75" t="s">
        <v>1266</v>
      </c>
      <c r="F715" s="75" t="s">
        <v>1268</v>
      </c>
      <c r="G715" s="75" t="s">
        <v>1268</v>
      </c>
    </row>
    <row r="716" spans="1:7" x14ac:dyDescent="0.2">
      <c r="A716" s="40">
        <v>3683</v>
      </c>
      <c r="B716" s="39" t="s">
        <v>563</v>
      </c>
      <c r="C716" s="40" t="s">
        <v>1281</v>
      </c>
      <c r="D716" s="75" t="s">
        <v>1269</v>
      </c>
      <c r="E716" s="75" t="s">
        <v>1266</v>
      </c>
      <c r="F716" s="75" t="s">
        <v>1268</v>
      </c>
      <c r="G716" s="75" t="s">
        <v>1268</v>
      </c>
    </row>
    <row r="717" spans="1:7" x14ac:dyDescent="0.2">
      <c r="A717" s="40">
        <v>3684</v>
      </c>
      <c r="B717" s="39" t="s">
        <v>564</v>
      </c>
      <c r="C717" s="40" t="s">
        <v>1281</v>
      </c>
      <c r="D717" s="75" t="s">
        <v>1269</v>
      </c>
      <c r="E717" s="75" t="s">
        <v>1266</v>
      </c>
      <c r="F717" s="75" t="s">
        <v>1268</v>
      </c>
      <c r="G717" s="75" t="s">
        <v>1267</v>
      </c>
    </row>
    <row r="718" spans="1:7" x14ac:dyDescent="0.2">
      <c r="A718" s="40">
        <v>3691</v>
      </c>
      <c r="B718" s="39" t="s">
        <v>565</v>
      </c>
      <c r="C718" s="40" t="s">
        <v>1281</v>
      </c>
      <c r="D718" s="75" t="s">
        <v>1269</v>
      </c>
      <c r="E718" s="75" t="s">
        <v>1266</v>
      </c>
      <c r="F718" s="75" t="s">
        <v>1268</v>
      </c>
      <c r="G718" s="75" t="s">
        <v>1267</v>
      </c>
    </row>
    <row r="719" spans="1:7" x14ac:dyDescent="0.2">
      <c r="A719" s="40">
        <v>3701</v>
      </c>
      <c r="B719" s="39" t="s">
        <v>566</v>
      </c>
      <c r="C719" s="40" t="s">
        <v>1281</v>
      </c>
      <c r="D719" s="75" t="s">
        <v>1269</v>
      </c>
      <c r="E719" s="75" t="s">
        <v>1266</v>
      </c>
      <c r="F719" s="75" t="s">
        <v>1268</v>
      </c>
      <c r="G719" s="75" t="s">
        <v>1268</v>
      </c>
    </row>
    <row r="720" spans="1:7" x14ac:dyDescent="0.2">
      <c r="A720" s="40">
        <v>3702</v>
      </c>
      <c r="B720" s="39" t="s">
        <v>567</v>
      </c>
      <c r="C720" s="40" t="s">
        <v>1281</v>
      </c>
      <c r="D720" s="75" t="s">
        <v>1269</v>
      </c>
      <c r="E720" s="75" t="s">
        <v>1266</v>
      </c>
      <c r="F720" s="75" t="s">
        <v>1268</v>
      </c>
      <c r="G720" s="75" t="s">
        <v>1267</v>
      </c>
    </row>
    <row r="721" spans="1:7" x14ac:dyDescent="0.2">
      <c r="A721" s="40">
        <v>3704</v>
      </c>
      <c r="B721" s="39" t="s">
        <v>568</v>
      </c>
      <c r="C721" s="40" t="s">
        <v>1281</v>
      </c>
      <c r="D721" s="75" t="s">
        <v>1269</v>
      </c>
      <c r="E721" s="75" t="s">
        <v>1266</v>
      </c>
      <c r="F721" s="75" t="s">
        <v>1268</v>
      </c>
      <c r="G721" s="75" t="s">
        <v>1267</v>
      </c>
    </row>
    <row r="722" spans="1:7" x14ac:dyDescent="0.2">
      <c r="A722" s="40">
        <v>3710</v>
      </c>
      <c r="B722" s="39" t="s">
        <v>569</v>
      </c>
      <c r="C722" s="40" t="s">
        <v>1281</v>
      </c>
      <c r="D722" s="75" t="s">
        <v>1269</v>
      </c>
      <c r="E722" s="75" t="s">
        <v>1266</v>
      </c>
      <c r="F722" s="75" t="s">
        <v>1268</v>
      </c>
      <c r="G722" s="75" t="s">
        <v>1268</v>
      </c>
    </row>
    <row r="723" spans="1:7" x14ac:dyDescent="0.2">
      <c r="A723" s="40">
        <v>3711</v>
      </c>
      <c r="B723" s="39" t="s">
        <v>570</v>
      </c>
      <c r="C723" s="40" t="s">
        <v>1281</v>
      </c>
      <c r="D723" s="75" t="s">
        <v>1269</v>
      </c>
      <c r="E723" s="75" t="s">
        <v>1266</v>
      </c>
      <c r="F723" s="75" t="s">
        <v>1268</v>
      </c>
      <c r="G723" s="75" t="s">
        <v>1267</v>
      </c>
    </row>
    <row r="724" spans="1:7" x14ac:dyDescent="0.2">
      <c r="A724" s="40">
        <v>3712</v>
      </c>
      <c r="B724" s="39" t="s">
        <v>571</v>
      </c>
      <c r="C724" s="40" t="s">
        <v>1281</v>
      </c>
      <c r="D724" s="75" t="s">
        <v>1269</v>
      </c>
      <c r="E724" s="75" t="s">
        <v>1266</v>
      </c>
      <c r="F724" s="75" t="s">
        <v>1268</v>
      </c>
      <c r="G724" s="75" t="s">
        <v>1268</v>
      </c>
    </row>
    <row r="725" spans="1:7" x14ac:dyDescent="0.2">
      <c r="A725" s="40">
        <v>3713</v>
      </c>
      <c r="B725" s="39" t="s">
        <v>572</v>
      </c>
      <c r="C725" s="40" t="s">
        <v>1281</v>
      </c>
      <c r="D725" s="75" t="s">
        <v>1269</v>
      </c>
      <c r="E725" s="75" t="s">
        <v>1266</v>
      </c>
      <c r="F725" s="75" t="s">
        <v>1268</v>
      </c>
      <c r="G725" s="75" t="s">
        <v>1267</v>
      </c>
    </row>
    <row r="726" spans="1:7" x14ac:dyDescent="0.2">
      <c r="A726" s="40">
        <v>3714</v>
      </c>
      <c r="B726" s="39" t="s">
        <v>573</v>
      </c>
      <c r="C726" s="40" t="s">
        <v>1281</v>
      </c>
      <c r="D726" s="75" t="s">
        <v>1269</v>
      </c>
      <c r="E726" s="75" t="s">
        <v>1266</v>
      </c>
      <c r="F726" s="75" t="s">
        <v>1268</v>
      </c>
      <c r="G726" s="75" t="s">
        <v>1267</v>
      </c>
    </row>
    <row r="727" spans="1:7" x14ac:dyDescent="0.2">
      <c r="A727" s="40">
        <v>3720</v>
      </c>
      <c r="B727" s="39" t="s">
        <v>574</v>
      </c>
      <c r="C727" s="40" t="s">
        <v>1281</v>
      </c>
      <c r="D727" s="75" t="s">
        <v>1269</v>
      </c>
      <c r="E727" s="75" t="s">
        <v>1266</v>
      </c>
      <c r="F727" s="75" t="s">
        <v>1268</v>
      </c>
      <c r="G727" s="75" t="s">
        <v>1267</v>
      </c>
    </row>
    <row r="728" spans="1:7" x14ac:dyDescent="0.2">
      <c r="A728" s="40">
        <v>3721</v>
      </c>
      <c r="B728" s="39" t="s">
        <v>575</v>
      </c>
      <c r="C728" s="40" t="s">
        <v>1281</v>
      </c>
      <c r="D728" s="75" t="s">
        <v>1269</v>
      </c>
      <c r="E728" s="75" t="s">
        <v>1266</v>
      </c>
      <c r="F728" s="75" t="s">
        <v>1268</v>
      </c>
      <c r="G728" s="75" t="s">
        <v>1267</v>
      </c>
    </row>
    <row r="729" spans="1:7" x14ac:dyDescent="0.2">
      <c r="A729" s="40">
        <v>3722</v>
      </c>
      <c r="B729" s="39" t="s">
        <v>576</v>
      </c>
      <c r="C729" s="40" t="s">
        <v>1281</v>
      </c>
      <c r="D729" s="75" t="s">
        <v>1269</v>
      </c>
      <c r="E729" s="75" t="s">
        <v>1266</v>
      </c>
      <c r="F729" s="75" t="s">
        <v>1268</v>
      </c>
      <c r="G729" s="75" t="s">
        <v>1267</v>
      </c>
    </row>
    <row r="730" spans="1:7" x14ac:dyDescent="0.2">
      <c r="A730" s="40">
        <v>3730</v>
      </c>
      <c r="B730" s="39" t="s">
        <v>577</v>
      </c>
      <c r="C730" s="40" t="s">
        <v>1281</v>
      </c>
      <c r="D730" s="75" t="s">
        <v>1269</v>
      </c>
      <c r="E730" s="75" t="s">
        <v>1266</v>
      </c>
      <c r="F730" s="75" t="s">
        <v>1268</v>
      </c>
      <c r="G730" s="75" t="s">
        <v>1268</v>
      </c>
    </row>
    <row r="731" spans="1:7" x14ac:dyDescent="0.2">
      <c r="A731" s="40">
        <v>3741</v>
      </c>
      <c r="B731" s="39" t="s">
        <v>578</v>
      </c>
      <c r="C731" s="40" t="s">
        <v>1281</v>
      </c>
      <c r="D731" s="75" t="s">
        <v>1269</v>
      </c>
      <c r="E731" s="75" t="s">
        <v>1266</v>
      </c>
      <c r="F731" s="75" t="s">
        <v>1268</v>
      </c>
      <c r="G731" s="75" t="s">
        <v>1268</v>
      </c>
    </row>
    <row r="732" spans="1:7" x14ac:dyDescent="0.2">
      <c r="A732" s="40">
        <v>3742</v>
      </c>
      <c r="B732" s="39" t="s">
        <v>579</v>
      </c>
      <c r="C732" s="40" t="s">
        <v>1281</v>
      </c>
      <c r="D732" s="75" t="s">
        <v>1269</v>
      </c>
      <c r="E732" s="75" t="s">
        <v>1266</v>
      </c>
      <c r="F732" s="75" t="s">
        <v>1268</v>
      </c>
      <c r="G732" s="75" t="s">
        <v>1267</v>
      </c>
    </row>
    <row r="733" spans="1:7" x14ac:dyDescent="0.2">
      <c r="A733" s="40">
        <v>3743</v>
      </c>
      <c r="B733" s="39" t="s">
        <v>580</v>
      </c>
      <c r="C733" s="40" t="s">
        <v>1281</v>
      </c>
      <c r="D733" s="75" t="s">
        <v>1269</v>
      </c>
      <c r="E733" s="75" t="s">
        <v>1266</v>
      </c>
      <c r="F733" s="75" t="s">
        <v>1268</v>
      </c>
      <c r="G733" s="75" t="s">
        <v>1267</v>
      </c>
    </row>
    <row r="734" spans="1:7" x14ac:dyDescent="0.2">
      <c r="A734" s="40">
        <v>3744</v>
      </c>
      <c r="B734" s="39" t="s">
        <v>581</v>
      </c>
      <c r="C734" s="40" t="s">
        <v>1281</v>
      </c>
      <c r="D734" s="75" t="s">
        <v>1269</v>
      </c>
      <c r="E734" s="75" t="s">
        <v>1266</v>
      </c>
      <c r="F734" s="75" t="s">
        <v>1268</v>
      </c>
      <c r="G734" s="75" t="s">
        <v>1267</v>
      </c>
    </row>
    <row r="735" spans="1:7" x14ac:dyDescent="0.2">
      <c r="A735" s="40">
        <v>3751</v>
      </c>
      <c r="B735" s="39" t="s">
        <v>582</v>
      </c>
      <c r="C735" s="40" t="s">
        <v>1281</v>
      </c>
      <c r="D735" s="75" t="s">
        <v>1269</v>
      </c>
      <c r="E735" s="75" t="s">
        <v>1266</v>
      </c>
      <c r="F735" s="75" t="s">
        <v>1268</v>
      </c>
      <c r="G735" s="75" t="s">
        <v>1268</v>
      </c>
    </row>
    <row r="736" spans="1:7" x14ac:dyDescent="0.2">
      <c r="A736" s="40">
        <v>3752</v>
      </c>
      <c r="B736" s="39" t="s">
        <v>583</v>
      </c>
      <c r="C736" s="40" t="s">
        <v>1281</v>
      </c>
      <c r="D736" s="75" t="s">
        <v>1269</v>
      </c>
      <c r="E736" s="75" t="s">
        <v>1266</v>
      </c>
      <c r="F736" s="75" t="s">
        <v>1268</v>
      </c>
      <c r="G736" s="75" t="s">
        <v>1267</v>
      </c>
    </row>
    <row r="737" spans="1:7" x14ac:dyDescent="0.2">
      <c r="A737" s="40">
        <v>3753</v>
      </c>
      <c r="B737" s="39" t="s">
        <v>584</v>
      </c>
      <c r="C737" s="40" t="s">
        <v>1281</v>
      </c>
      <c r="D737" s="75" t="s">
        <v>1269</v>
      </c>
      <c r="E737" s="75" t="s">
        <v>1266</v>
      </c>
      <c r="F737" s="75" t="s">
        <v>1268</v>
      </c>
      <c r="G737" s="75" t="s">
        <v>1267</v>
      </c>
    </row>
    <row r="738" spans="1:7" x14ac:dyDescent="0.2">
      <c r="A738" s="40">
        <v>3754</v>
      </c>
      <c r="B738" s="39" t="s">
        <v>585</v>
      </c>
      <c r="C738" s="40" t="s">
        <v>1281</v>
      </c>
      <c r="D738" s="75" t="s">
        <v>1269</v>
      </c>
      <c r="E738" s="75" t="s">
        <v>1266</v>
      </c>
      <c r="F738" s="75" t="s">
        <v>1268</v>
      </c>
      <c r="G738" s="75" t="s">
        <v>1267</v>
      </c>
    </row>
    <row r="739" spans="1:7" x14ac:dyDescent="0.2">
      <c r="A739" s="40">
        <v>3761</v>
      </c>
      <c r="B739" s="39" t="s">
        <v>586</v>
      </c>
      <c r="C739" s="40" t="s">
        <v>1281</v>
      </c>
      <c r="D739" s="75" t="s">
        <v>1269</v>
      </c>
      <c r="E739" s="75" t="s">
        <v>1266</v>
      </c>
      <c r="F739" s="75" t="s">
        <v>1268</v>
      </c>
      <c r="G739" s="75" t="s">
        <v>1267</v>
      </c>
    </row>
    <row r="740" spans="1:7" x14ac:dyDescent="0.2">
      <c r="A740" s="40">
        <v>3762</v>
      </c>
      <c r="B740" s="39" t="s">
        <v>587</v>
      </c>
      <c r="C740" s="40" t="s">
        <v>1281</v>
      </c>
      <c r="D740" s="75" t="s">
        <v>1269</v>
      </c>
      <c r="E740" s="75" t="s">
        <v>1266</v>
      </c>
      <c r="F740" s="75" t="s">
        <v>1268</v>
      </c>
      <c r="G740" s="75" t="s">
        <v>1267</v>
      </c>
    </row>
    <row r="741" spans="1:7" x14ac:dyDescent="0.2">
      <c r="A741" s="40">
        <v>3763</v>
      </c>
      <c r="B741" s="39" t="s">
        <v>588</v>
      </c>
      <c r="C741" s="40" t="s">
        <v>1281</v>
      </c>
      <c r="D741" s="75" t="s">
        <v>1269</v>
      </c>
      <c r="E741" s="75" t="s">
        <v>1266</v>
      </c>
      <c r="F741" s="75" t="s">
        <v>1268</v>
      </c>
      <c r="G741" s="75" t="s">
        <v>1268</v>
      </c>
    </row>
    <row r="742" spans="1:7" x14ac:dyDescent="0.2">
      <c r="A742" s="40">
        <v>3800</v>
      </c>
      <c r="B742" s="39" t="s">
        <v>589</v>
      </c>
      <c r="C742" s="40" t="s">
        <v>1281</v>
      </c>
      <c r="D742" s="75" t="s">
        <v>1269</v>
      </c>
      <c r="E742" s="75" t="s">
        <v>1266</v>
      </c>
      <c r="F742" s="75" t="s">
        <v>1268</v>
      </c>
      <c r="G742" s="75" t="s">
        <v>1267</v>
      </c>
    </row>
    <row r="743" spans="1:7" x14ac:dyDescent="0.2">
      <c r="A743" s="40">
        <v>3804</v>
      </c>
      <c r="B743" s="39" t="s">
        <v>590</v>
      </c>
      <c r="C743" s="40" t="s">
        <v>1281</v>
      </c>
      <c r="D743" s="75" t="s">
        <v>1269</v>
      </c>
      <c r="E743" s="75" t="s">
        <v>1266</v>
      </c>
      <c r="F743" s="75" t="s">
        <v>1268</v>
      </c>
      <c r="G743" s="75" t="s">
        <v>1268</v>
      </c>
    </row>
    <row r="744" spans="1:7" x14ac:dyDescent="0.2">
      <c r="A744" s="40">
        <v>3811</v>
      </c>
      <c r="B744" s="39" t="s">
        <v>591</v>
      </c>
      <c r="C744" s="40" t="s">
        <v>1281</v>
      </c>
      <c r="D744" s="75" t="s">
        <v>1269</v>
      </c>
      <c r="E744" s="75" t="s">
        <v>1266</v>
      </c>
      <c r="F744" s="75" t="s">
        <v>1268</v>
      </c>
      <c r="G744" s="75" t="s">
        <v>1267</v>
      </c>
    </row>
    <row r="745" spans="1:7" x14ac:dyDescent="0.2">
      <c r="A745" s="40">
        <v>3812</v>
      </c>
      <c r="B745" s="39" t="s">
        <v>592</v>
      </c>
      <c r="C745" s="40" t="s">
        <v>1281</v>
      </c>
      <c r="D745" s="75" t="s">
        <v>1269</v>
      </c>
      <c r="E745" s="75" t="s">
        <v>1266</v>
      </c>
      <c r="F745" s="75" t="s">
        <v>1268</v>
      </c>
      <c r="G745" s="75" t="s">
        <v>1268</v>
      </c>
    </row>
    <row r="746" spans="1:7" x14ac:dyDescent="0.2">
      <c r="A746" s="40">
        <v>3813</v>
      </c>
      <c r="B746" s="39" t="s">
        <v>593</v>
      </c>
      <c r="C746" s="40" t="s">
        <v>1281</v>
      </c>
      <c r="D746" s="75" t="s">
        <v>1269</v>
      </c>
      <c r="E746" s="75" t="s">
        <v>1266</v>
      </c>
      <c r="F746" s="75" t="s">
        <v>1268</v>
      </c>
      <c r="G746" s="75" t="s">
        <v>1267</v>
      </c>
    </row>
    <row r="747" spans="1:7" x14ac:dyDescent="0.2">
      <c r="A747" s="40">
        <v>3814</v>
      </c>
      <c r="B747" s="39" t="s">
        <v>594</v>
      </c>
      <c r="C747" s="40" t="s">
        <v>1281</v>
      </c>
      <c r="D747" s="75" t="s">
        <v>1269</v>
      </c>
      <c r="E747" s="75" t="s">
        <v>1266</v>
      </c>
      <c r="F747" s="75" t="s">
        <v>1268</v>
      </c>
      <c r="G747" s="75" t="s">
        <v>1267</v>
      </c>
    </row>
    <row r="748" spans="1:7" x14ac:dyDescent="0.2">
      <c r="A748" s="40">
        <v>3820</v>
      </c>
      <c r="B748" s="39" t="s">
        <v>595</v>
      </c>
      <c r="C748" s="40" t="s">
        <v>1281</v>
      </c>
      <c r="D748" s="75" t="s">
        <v>1269</v>
      </c>
      <c r="E748" s="75" t="s">
        <v>1266</v>
      </c>
      <c r="F748" s="75" t="s">
        <v>1268</v>
      </c>
      <c r="G748" s="75" t="s">
        <v>1268</v>
      </c>
    </row>
    <row r="749" spans="1:7" x14ac:dyDescent="0.2">
      <c r="A749" s="40">
        <v>3822</v>
      </c>
      <c r="B749" s="39" t="s">
        <v>596</v>
      </c>
      <c r="C749" s="40" t="s">
        <v>1281</v>
      </c>
      <c r="D749" s="75" t="s">
        <v>1269</v>
      </c>
      <c r="E749" s="75" t="s">
        <v>1266</v>
      </c>
      <c r="F749" s="75" t="s">
        <v>1268</v>
      </c>
      <c r="G749" s="75" t="s">
        <v>1267</v>
      </c>
    </row>
    <row r="750" spans="1:7" x14ac:dyDescent="0.2">
      <c r="A750" s="40">
        <v>3823</v>
      </c>
      <c r="B750" s="39" t="s">
        <v>597</v>
      </c>
      <c r="C750" s="40" t="s">
        <v>1281</v>
      </c>
      <c r="D750" s="75" t="s">
        <v>1269</v>
      </c>
      <c r="E750" s="75" t="s">
        <v>1266</v>
      </c>
      <c r="F750" s="75" t="s">
        <v>1268</v>
      </c>
      <c r="G750" s="75" t="s">
        <v>1267</v>
      </c>
    </row>
    <row r="751" spans="1:7" x14ac:dyDescent="0.2">
      <c r="A751" s="40">
        <v>3824</v>
      </c>
      <c r="B751" s="39" t="s">
        <v>598</v>
      </c>
      <c r="C751" s="40" t="s">
        <v>1281</v>
      </c>
      <c r="D751" s="75" t="s">
        <v>1269</v>
      </c>
      <c r="E751" s="75" t="s">
        <v>1266</v>
      </c>
      <c r="F751" s="75" t="s">
        <v>1268</v>
      </c>
      <c r="G751" s="75" t="s">
        <v>1267</v>
      </c>
    </row>
    <row r="752" spans="1:7" x14ac:dyDescent="0.2">
      <c r="A752" s="40">
        <v>3830</v>
      </c>
      <c r="B752" s="39" t="s">
        <v>599</v>
      </c>
      <c r="C752" s="40" t="s">
        <v>1281</v>
      </c>
      <c r="D752" s="75" t="s">
        <v>1269</v>
      </c>
      <c r="E752" s="75" t="s">
        <v>1266</v>
      </c>
      <c r="F752" s="75" t="s">
        <v>1268</v>
      </c>
      <c r="G752" s="75" t="s">
        <v>1268</v>
      </c>
    </row>
    <row r="753" spans="1:7" x14ac:dyDescent="0.2">
      <c r="A753" s="40">
        <v>3834</v>
      </c>
      <c r="B753" s="39" t="s">
        <v>600</v>
      </c>
      <c r="C753" s="40" t="s">
        <v>1281</v>
      </c>
      <c r="D753" s="75" t="s">
        <v>1269</v>
      </c>
      <c r="E753" s="75" t="s">
        <v>1266</v>
      </c>
      <c r="F753" s="75" t="s">
        <v>1268</v>
      </c>
      <c r="G753" s="75" t="s">
        <v>1267</v>
      </c>
    </row>
    <row r="754" spans="1:7" x14ac:dyDescent="0.2">
      <c r="A754" s="40">
        <v>3841</v>
      </c>
      <c r="B754" s="39" t="s">
        <v>601</v>
      </c>
      <c r="C754" s="40" t="s">
        <v>1281</v>
      </c>
      <c r="D754" s="75" t="s">
        <v>1269</v>
      </c>
      <c r="E754" s="75" t="s">
        <v>1266</v>
      </c>
      <c r="F754" s="75" t="s">
        <v>1268</v>
      </c>
      <c r="G754" s="75" t="s">
        <v>1267</v>
      </c>
    </row>
    <row r="755" spans="1:7" x14ac:dyDescent="0.2">
      <c r="A755" s="40">
        <v>3842</v>
      </c>
      <c r="B755" s="39" t="s">
        <v>602</v>
      </c>
      <c r="C755" s="40" t="s">
        <v>1281</v>
      </c>
      <c r="D755" s="75" t="s">
        <v>1269</v>
      </c>
      <c r="E755" s="75" t="s">
        <v>1266</v>
      </c>
      <c r="F755" s="75" t="s">
        <v>1268</v>
      </c>
      <c r="G755" s="75" t="s">
        <v>1267</v>
      </c>
    </row>
    <row r="756" spans="1:7" x14ac:dyDescent="0.2">
      <c r="A756" s="40">
        <v>3843</v>
      </c>
      <c r="B756" s="39" t="s">
        <v>603</v>
      </c>
      <c r="C756" s="40" t="s">
        <v>1281</v>
      </c>
      <c r="D756" s="75" t="s">
        <v>1269</v>
      </c>
      <c r="E756" s="75" t="s">
        <v>1266</v>
      </c>
      <c r="F756" s="75" t="s">
        <v>1268</v>
      </c>
      <c r="G756" s="75" t="s">
        <v>1268</v>
      </c>
    </row>
    <row r="757" spans="1:7" x14ac:dyDescent="0.2">
      <c r="A757" s="40">
        <v>3844</v>
      </c>
      <c r="B757" s="39" t="s">
        <v>604</v>
      </c>
      <c r="C757" s="40" t="s">
        <v>1281</v>
      </c>
      <c r="D757" s="75" t="s">
        <v>1269</v>
      </c>
      <c r="E757" s="75" t="s">
        <v>1266</v>
      </c>
      <c r="F757" s="75" t="s">
        <v>1268</v>
      </c>
      <c r="G757" s="75" t="s">
        <v>1267</v>
      </c>
    </row>
    <row r="758" spans="1:7" x14ac:dyDescent="0.2">
      <c r="A758" s="40">
        <v>3851</v>
      </c>
      <c r="B758" s="39" t="s">
        <v>609</v>
      </c>
      <c r="C758" s="40" t="s">
        <v>1281</v>
      </c>
      <c r="D758" s="75" t="s">
        <v>1269</v>
      </c>
      <c r="E758" s="75" t="s">
        <v>1266</v>
      </c>
      <c r="F758" s="75" t="s">
        <v>1268</v>
      </c>
      <c r="G758" s="75" t="s">
        <v>1267</v>
      </c>
    </row>
    <row r="759" spans="1:7" x14ac:dyDescent="0.2">
      <c r="A759" s="40">
        <v>3852</v>
      </c>
      <c r="B759" s="39" t="s">
        <v>610</v>
      </c>
      <c r="C759" s="40" t="s">
        <v>1281</v>
      </c>
      <c r="D759" s="75" t="s">
        <v>1269</v>
      </c>
      <c r="E759" s="75" t="s">
        <v>1266</v>
      </c>
      <c r="F759" s="75" t="s">
        <v>1268</v>
      </c>
      <c r="G759" s="75" t="s">
        <v>1268</v>
      </c>
    </row>
    <row r="760" spans="1:7" x14ac:dyDescent="0.2">
      <c r="A760" s="40">
        <v>3860</v>
      </c>
      <c r="B760" s="39" t="s">
        <v>611</v>
      </c>
      <c r="C760" s="40" t="s">
        <v>1281</v>
      </c>
      <c r="D760" s="75" t="s">
        <v>1269</v>
      </c>
      <c r="E760" s="75" t="s">
        <v>1266</v>
      </c>
      <c r="F760" s="75" t="s">
        <v>1268</v>
      </c>
      <c r="G760" s="75" t="s">
        <v>1268</v>
      </c>
    </row>
    <row r="761" spans="1:7" x14ac:dyDescent="0.2">
      <c r="A761" s="40">
        <v>3861</v>
      </c>
      <c r="B761" s="39" t="s">
        <v>612</v>
      </c>
      <c r="C761" s="40" t="s">
        <v>1281</v>
      </c>
      <c r="D761" s="75" t="s">
        <v>1269</v>
      </c>
      <c r="E761" s="75" t="s">
        <v>1266</v>
      </c>
      <c r="F761" s="75" t="s">
        <v>1268</v>
      </c>
      <c r="G761" s="75" t="s">
        <v>1267</v>
      </c>
    </row>
    <row r="762" spans="1:7" x14ac:dyDescent="0.2">
      <c r="A762" s="40">
        <v>3862</v>
      </c>
      <c r="B762" s="39" t="s">
        <v>613</v>
      </c>
      <c r="C762" s="40" t="s">
        <v>1281</v>
      </c>
      <c r="D762" s="75" t="s">
        <v>1269</v>
      </c>
      <c r="E762" s="75" t="s">
        <v>1266</v>
      </c>
      <c r="F762" s="75" t="s">
        <v>1268</v>
      </c>
      <c r="G762" s="75" t="s">
        <v>1267</v>
      </c>
    </row>
    <row r="763" spans="1:7" x14ac:dyDescent="0.2">
      <c r="A763" s="40">
        <v>3863</v>
      </c>
      <c r="B763" s="39" t="s">
        <v>614</v>
      </c>
      <c r="C763" s="40" t="s">
        <v>1281</v>
      </c>
      <c r="D763" s="75" t="s">
        <v>1269</v>
      </c>
      <c r="E763" s="75" t="s">
        <v>1266</v>
      </c>
      <c r="F763" s="75" t="s">
        <v>1268</v>
      </c>
      <c r="G763" s="75" t="s">
        <v>1267</v>
      </c>
    </row>
    <row r="764" spans="1:7" x14ac:dyDescent="0.2">
      <c r="A764" s="40">
        <v>3871</v>
      </c>
      <c r="B764" s="39" t="s">
        <v>615</v>
      </c>
      <c r="C764" s="40" t="s">
        <v>1281</v>
      </c>
      <c r="D764" s="75" t="s">
        <v>1269</v>
      </c>
      <c r="E764" s="75" t="s">
        <v>1266</v>
      </c>
      <c r="F764" s="75" t="s">
        <v>1268</v>
      </c>
      <c r="G764" s="75" t="s">
        <v>1268</v>
      </c>
    </row>
    <row r="765" spans="1:7" x14ac:dyDescent="0.2">
      <c r="A765" s="40">
        <v>3872</v>
      </c>
      <c r="B765" s="39" t="s">
        <v>616</v>
      </c>
      <c r="C765" s="40" t="s">
        <v>1281</v>
      </c>
      <c r="D765" s="75" t="s">
        <v>1269</v>
      </c>
      <c r="E765" s="75" t="s">
        <v>1266</v>
      </c>
      <c r="F765" s="75" t="s">
        <v>1268</v>
      </c>
      <c r="G765" s="75" t="s">
        <v>1267</v>
      </c>
    </row>
    <row r="766" spans="1:7" x14ac:dyDescent="0.2">
      <c r="A766" s="40">
        <v>3873</v>
      </c>
      <c r="B766" s="39" t="s">
        <v>617</v>
      </c>
      <c r="C766" s="40" t="s">
        <v>1281</v>
      </c>
      <c r="D766" s="75" t="s">
        <v>1269</v>
      </c>
      <c r="E766" s="75" t="s">
        <v>1266</v>
      </c>
      <c r="F766" s="75" t="s">
        <v>1268</v>
      </c>
      <c r="G766" s="75" t="s">
        <v>1267</v>
      </c>
    </row>
    <row r="767" spans="1:7" x14ac:dyDescent="0.2">
      <c r="A767" s="40">
        <v>3874</v>
      </c>
      <c r="B767" s="39" t="s">
        <v>618</v>
      </c>
      <c r="C767" s="40" t="s">
        <v>1281</v>
      </c>
      <c r="D767" s="75" t="s">
        <v>1269</v>
      </c>
      <c r="E767" s="75" t="s">
        <v>1266</v>
      </c>
      <c r="F767" s="75" t="s">
        <v>1268</v>
      </c>
      <c r="G767" s="75" t="s">
        <v>1268</v>
      </c>
    </row>
    <row r="768" spans="1:7" x14ac:dyDescent="0.2">
      <c r="A768" s="40">
        <v>3900</v>
      </c>
      <c r="B768" s="39" t="s">
        <v>619</v>
      </c>
      <c r="C768" s="40" t="s">
        <v>1281</v>
      </c>
      <c r="D768" s="75" t="s">
        <v>1269</v>
      </c>
      <c r="E768" s="75" t="s">
        <v>1266</v>
      </c>
      <c r="F768" s="75" t="s">
        <v>1268</v>
      </c>
      <c r="G768" s="75" t="s">
        <v>1268</v>
      </c>
    </row>
    <row r="769" spans="1:7" x14ac:dyDescent="0.2">
      <c r="A769" s="40">
        <v>3902</v>
      </c>
      <c r="B769" s="39" t="s">
        <v>620</v>
      </c>
      <c r="C769" s="40" t="s">
        <v>1281</v>
      </c>
      <c r="D769" s="75" t="s">
        <v>1269</v>
      </c>
      <c r="E769" s="75" t="s">
        <v>1266</v>
      </c>
      <c r="F769" s="75" t="s">
        <v>1268</v>
      </c>
      <c r="G769" s="75" t="s">
        <v>1268</v>
      </c>
    </row>
    <row r="770" spans="1:7" x14ac:dyDescent="0.2">
      <c r="A770" s="40">
        <v>3903</v>
      </c>
      <c r="B770" s="39" t="s">
        <v>621</v>
      </c>
      <c r="C770" s="40" t="s">
        <v>1281</v>
      </c>
      <c r="D770" s="75" t="s">
        <v>1269</v>
      </c>
      <c r="E770" s="75" t="s">
        <v>1266</v>
      </c>
      <c r="F770" s="75" t="s">
        <v>1268</v>
      </c>
      <c r="G770" s="75" t="s">
        <v>1268</v>
      </c>
    </row>
    <row r="771" spans="1:7" x14ac:dyDescent="0.2">
      <c r="A771" s="40">
        <v>3910</v>
      </c>
      <c r="B771" s="39" t="s">
        <v>1255</v>
      </c>
      <c r="C771" s="40" t="s">
        <v>1281</v>
      </c>
      <c r="D771" s="75" t="s">
        <v>1269</v>
      </c>
      <c r="E771" s="75" t="s">
        <v>1266</v>
      </c>
      <c r="F771" s="75" t="s">
        <v>1268</v>
      </c>
      <c r="G771" s="75" t="s">
        <v>1268</v>
      </c>
    </row>
    <row r="772" spans="1:7" x14ac:dyDescent="0.2">
      <c r="A772" s="40">
        <v>3911</v>
      </c>
      <c r="B772" s="39" t="s">
        <v>622</v>
      </c>
      <c r="C772" s="40" t="s">
        <v>1281</v>
      </c>
      <c r="D772" s="75" t="s">
        <v>1269</v>
      </c>
      <c r="E772" s="75" t="s">
        <v>1266</v>
      </c>
      <c r="F772" s="75" t="s">
        <v>1268</v>
      </c>
      <c r="G772" s="75" t="s">
        <v>1268</v>
      </c>
    </row>
    <row r="773" spans="1:7" x14ac:dyDescent="0.2">
      <c r="A773" s="40">
        <v>3912</v>
      </c>
      <c r="B773" s="39" t="s">
        <v>623</v>
      </c>
      <c r="C773" s="40" t="s">
        <v>1281</v>
      </c>
      <c r="D773" s="75" t="s">
        <v>1269</v>
      </c>
      <c r="E773" s="75" t="s">
        <v>1266</v>
      </c>
      <c r="F773" s="75" t="s">
        <v>1268</v>
      </c>
      <c r="G773" s="75" t="s">
        <v>1267</v>
      </c>
    </row>
    <row r="774" spans="1:7" x14ac:dyDescent="0.2">
      <c r="A774" s="40">
        <v>3913</v>
      </c>
      <c r="B774" s="39" t="s">
        <v>624</v>
      </c>
      <c r="C774" s="40" t="s">
        <v>1281</v>
      </c>
      <c r="D774" s="75" t="s">
        <v>1269</v>
      </c>
      <c r="E774" s="75" t="s">
        <v>1266</v>
      </c>
      <c r="F774" s="75" t="s">
        <v>1268</v>
      </c>
      <c r="G774" s="75" t="s">
        <v>1267</v>
      </c>
    </row>
    <row r="775" spans="1:7" x14ac:dyDescent="0.2">
      <c r="A775" s="40">
        <v>3914</v>
      </c>
      <c r="B775" s="39" t="s">
        <v>625</v>
      </c>
      <c r="C775" s="40" t="s">
        <v>1281</v>
      </c>
      <c r="D775" s="75" t="s">
        <v>1269</v>
      </c>
      <c r="E775" s="75" t="s">
        <v>1266</v>
      </c>
      <c r="F775" s="75" t="s">
        <v>1268</v>
      </c>
      <c r="G775" s="75" t="s">
        <v>1267</v>
      </c>
    </row>
    <row r="776" spans="1:7" x14ac:dyDescent="0.2">
      <c r="A776" s="40">
        <v>3920</v>
      </c>
      <c r="B776" s="39" t="s">
        <v>626</v>
      </c>
      <c r="C776" s="40" t="s">
        <v>1281</v>
      </c>
      <c r="D776" s="75" t="s">
        <v>1269</v>
      </c>
      <c r="E776" s="75" t="s">
        <v>1266</v>
      </c>
      <c r="F776" s="75" t="s">
        <v>1268</v>
      </c>
      <c r="G776" s="75" t="s">
        <v>1268</v>
      </c>
    </row>
    <row r="777" spans="1:7" x14ac:dyDescent="0.2">
      <c r="A777" s="40">
        <v>3921</v>
      </c>
      <c r="B777" s="39" t="s">
        <v>627</v>
      </c>
      <c r="C777" s="40" t="s">
        <v>1281</v>
      </c>
      <c r="D777" s="75" t="s">
        <v>1269</v>
      </c>
      <c r="E777" s="75" t="s">
        <v>1266</v>
      </c>
      <c r="F777" s="75" t="s">
        <v>1268</v>
      </c>
      <c r="G777" s="75" t="s">
        <v>1267</v>
      </c>
    </row>
    <row r="778" spans="1:7" x14ac:dyDescent="0.2">
      <c r="A778" s="40">
        <v>3922</v>
      </c>
      <c r="B778" s="39" t="s">
        <v>628</v>
      </c>
      <c r="C778" s="40" t="s">
        <v>1281</v>
      </c>
      <c r="D778" s="75" t="s">
        <v>1269</v>
      </c>
      <c r="E778" s="75" t="s">
        <v>1266</v>
      </c>
      <c r="F778" s="75" t="s">
        <v>1268</v>
      </c>
      <c r="G778" s="75" t="s">
        <v>1267</v>
      </c>
    </row>
    <row r="779" spans="1:7" x14ac:dyDescent="0.2">
      <c r="A779" s="40">
        <v>3923</v>
      </c>
      <c r="B779" s="39" t="s">
        <v>629</v>
      </c>
      <c r="C779" s="40" t="s">
        <v>1281</v>
      </c>
      <c r="D779" s="75" t="s">
        <v>1269</v>
      </c>
      <c r="E779" s="75" t="s">
        <v>1266</v>
      </c>
      <c r="F779" s="75" t="s">
        <v>1268</v>
      </c>
      <c r="G779" s="75" t="s">
        <v>1267</v>
      </c>
    </row>
    <row r="780" spans="1:7" x14ac:dyDescent="0.2">
      <c r="A780" s="40">
        <v>3924</v>
      </c>
      <c r="B780" s="39" t="s">
        <v>630</v>
      </c>
      <c r="C780" s="40" t="s">
        <v>1281</v>
      </c>
      <c r="D780" s="75" t="s">
        <v>1269</v>
      </c>
      <c r="E780" s="75" t="s">
        <v>1266</v>
      </c>
      <c r="F780" s="75" t="s">
        <v>1268</v>
      </c>
      <c r="G780" s="75" t="s">
        <v>1267</v>
      </c>
    </row>
    <row r="781" spans="1:7" x14ac:dyDescent="0.2">
      <c r="A781" s="40">
        <v>3925</v>
      </c>
      <c r="B781" s="39" t="s">
        <v>631</v>
      </c>
      <c r="C781" s="40" t="s">
        <v>1281</v>
      </c>
      <c r="D781" s="75" t="s">
        <v>1269</v>
      </c>
      <c r="E781" s="75" t="s">
        <v>1266</v>
      </c>
      <c r="F781" s="75" t="s">
        <v>1268</v>
      </c>
      <c r="G781" s="75" t="s">
        <v>1268</v>
      </c>
    </row>
    <row r="782" spans="1:7" x14ac:dyDescent="0.2">
      <c r="A782" s="40">
        <v>3931</v>
      </c>
      <c r="B782" s="39" t="s">
        <v>632</v>
      </c>
      <c r="C782" s="40" t="s">
        <v>1281</v>
      </c>
      <c r="D782" s="75" t="s">
        <v>1269</v>
      </c>
      <c r="E782" s="75" t="s">
        <v>1266</v>
      </c>
      <c r="F782" s="75" t="s">
        <v>1268</v>
      </c>
      <c r="G782" s="75" t="s">
        <v>1268</v>
      </c>
    </row>
    <row r="783" spans="1:7" x14ac:dyDescent="0.2">
      <c r="A783" s="40">
        <v>3932</v>
      </c>
      <c r="B783" s="39" t="s">
        <v>633</v>
      </c>
      <c r="C783" s="40" t="s">
        <v>1281</v>
      </c>
      <c r="D783" s="75" t="s">
        <v>1269</v>
      </c>
      <c r="E783" s="75" t="s">
        <v>1266</v>
      </c>
      <c r="F783" s="75" t="s">
        <v>1268</v>
      </c>
      <c r="G783" s="75" t="s">
        <v>1267</v>
      </c>
    </row>
    <row r="784" spans="1:7" x14ac:dyDescent="0.2">
      <c r="A784" s="40">
        <v>3942</v>
      </c>
      <c r="B784" s="39" t="s">
        <v>634</v>
      </c>
      <c r="C784" s="40" t="s">
        <v>1281</v>
      </c>
      <c r="D784" s="75" t="s">
        <v>1269</v>
      </c>
      <c r="E784" s="75" t="s">
        <v>1266</v>
      </c>
      <c r="F784" s="75" t="s">
        <v>1268</v>
      </c>
      <c r="G784" s="75" t="s">
        <v>1267</v>
      </c>
    </row>
    <row r="785" spans="1:7" x14ac:dyDescent="0.2">
      <c r="A785" s="40">
        <v>3943</v>
      </c>
      <c r="B785" s="39" t="s">
        <v>635</v>
      </c>
      <c r="C785" s="40" t="s">
        <v>1281</v>
      </c>
      <c r="D785" s="75" t="s">
        <v>1269</v>
      </c>
      <c r="E785" s="75" t="s">
        <v>1266</v>
      </c>
      <c r="F785" s="75" t="s">
        <v>1268</v>
      </c>
      <c r="G785" s="75" t="s">
        <v>1268</v>
      </c>
    </row>
    <row r="786" spans="1:7" x14ac:dyDescent="0.2">
      <c r="A786" s="40">
        <v>3944</v>
      </c>
      <c r="B786" s="39" t="s">
        <v>636</v>
      </c>
      <c r="C786" s="40" t="s">
        <v>1281</v>
      </c>
      <c r="D786" s="75" t="s">
        <v>1269</v>
      </c>
      <c r="E786" s="75" t="s">
        <v>1266</v>
      </c>
      <c r="F786" s="75" t="s">
        <v>1268</v>
      </c>
      <c r="G786" s="75" t="s">
        <v>1267</v>
      </c>
    </row>
    <row r="787" spans="1:7" x14ac:dyDescent="0.2">
      <c r="A787" s="40">
        <v>3945</v>
      </c>
      <c r="B787" s="39" t="s">
        <v>637</v>
      </c>
      <c r="C787" s="40" t="s">
        <v>1281</v>
      </c>
      <c r="D787" s="75" t="s">
        <v>1269</v>
      </c>
      <c r="E787" s="75" t="s">
        <v>1266</v>
      </c>
      <c r="F787" s="75" t="s">
        <v>1268</v>
      </c>
      <c r="G787" s="75" t="s">
        <v>1267</v>
      </c>
    </row>
    <row r="788" spans="1:7" x14ac:dyDescent="0.2">
      <c r="A788" s="40">
        <v>3950</v>
      </c>
      <c r="B788" s="39" t="s">
        <v>638</v>
      </c>
      <c r="C788" s="40" t="s">
        <v>1281</v>
      </c>
      <c r="D788" s="75" t="s">
        <v>1269</v>
      </c>
      <c r="E788" s="75" t="s">
        <v>1266</v>
      </c>
      <c r="F788" s="75" t="s">
        <v>1268</v>
      </c>
      <c r="G788" s="75" t="s">
        <v>1268</v>
      </c>
    </row>
    <row r="789" spans="1:7" x14ac:dyDescent="0.2">
      <c r="A789" s="40">
        <v>3961</v>
      </c>
      <c r="B789" s="39" t="s">
        <v>639</v>
      </c>
      <c r="C789" s="40" t="s">
        <v>1281</v>
      </c>
      <c r="D789" s="75" t="s">
        <v>1269</v>
      </c>
      <c r="E789" s="75" t="s">
        <v>1266</v>
      </c>
      <c r="F789" s="75" t="s">
        <v>1268</v>
      </c>
      <c r="G789" s="75" t="s">
        <v>1267</v>
      </c>
    </row>
    <row r="790" spans="1:7" x14ac:dyDescent="0.2">
      <c r="A790" s="40">
        <v>3962</v>
      </c>
      <c r="B790" s="39" t="s">
        <v>640</v>
      </c>
      <c r="C790" s="40" t="s">
        <v>1281</v>
      </c>
      <c r="D790" s="75" t="s">
        <v>1269</v>
      </c>
      <c r="E790" s="75" t="s">
        <v>1266</v>
      </c>
      <c r="F790" s="75" t="s">
        <v>1268</v>
      </c>
      <c r="G790" s="75" t="s">
        <v>1267</v>
      </c>
    </row>
    <row r="791" spans="1:7" x14ac:dyDescent="0.2">
      <c r="A791" s="40">
        <v>3970</v>
      </c>
      <c r="B791" s="39" t="s">
        <v>641</v>
      </c>
      <c r="C791" s="40" t="s">
        <v>1281</v>
      </c>
      <c r="D791" s="75" t="s">
        <v>1269</v>
      </c>
      <c r="E791" s="75" t="s">
        <v>1266</v>
      </c>
      <c r="F791" s="75" t="s">
        <v>1268</v>
      </c>
      <c r="G791" s="75" t="s">
        <v>1268</v>
      </c>
    </row>
    <row r="792" spans="1:7" x14ac:dyDescent="0.2">
      <c r="A792" s="40">
        <v>3971</v>
      </c>
      <c r="B792" s="39" t="s">
        <v>642</v>
      </c>
      <c r="C792" s="40" t="s">
        <v>1281</v>
      </c>
      <c r="D792" s="75" t="s">
        <v>1269</v>
      </c>
      <c r="E792" s="75" t="s">
        <v>1266</v>
      </c>
      <c r="F792" s="75" t="s">
        <v>1268</v>
      </c>
      <c r="G792" s="75" t="s">
        <v>1267</v>
      </c>
    </row>
    <row r="793" spans="1:7" x14ac:dyDescent="0.2">
      <c r="A793" s="40">
        <v>3972</v>
      </c>
      <c r="B793" s="39" t="s">
        <v>643</v>
      </c>
      <c r="C793" s="40" t="s">
        <v>1281</v>
      </c>
      <c r="D793" s="75" t="s">
        <v>1269</v>
      </c>
      <c r="E793" s="75" t="s">
        <v>1266</v>
      </c>
      <c r="F793" s="75" t="s">
        <v>1268</v>
      </c>
      <c r="G793" s="75" t="s">
        <v>1268</v>
      </c>
    </row>
    <row r="794" spans="1:7" x14ac:dyDescent="0.2">
      <c r="A794" s="40">
        <v>3973</v>
      </c>
      <c r="B794" s="39" t="s">
        <v>644</v>
      </c>
      <c r="C794" s="40" t="s">
        <v>1281</v>
      </c>
      <c r="D794" s="75" t="s">
        <v>1269</v>
      </c>
      <c r="E794" s="75" t="s">
        <v>1266</v>
      </c>
      <c r="F794" s="75" t="s">
        <v>1268</v>
      </c>
      <c r="G794" s="75" t="s">
        <v>1267</v>
      </c>
    </row>
    <row r="795" spans="1:7" x14ac:dyDescent="0.2">
      <c r="A795" s="40">
        <v>4010</v>
      </c>
      <c r="B795" s="39" t="s">
        <v>645</v>
      </c>
      <c r="C795" s="40" t="s">
        <v>520</v>
      </c>
      <c r="D795" s="75" t="s">
        <v>1271</v>
      </c>
      <c r="E795" s="75" t="s">
        <v>1266</v>
      </c>
      <c r="F795" s="75" t="s">
        <v>1267</v>
      </c>
      <c r="G795" s="75" t="s">
        <v>1268</v>
      </c>
    </row>
    <row r="796" spans="1:7" x14ac:dyDescent="0.2">
      <c r="A796" s="40">
        <v>4013</v>
      </c>
      <c r="B796" s="39" t="s">
        <v>645</v>
      </c>
      <c r="C796" s="40" t="s">
        <v>520</v>
      </c>
      <c r="D796" s="75" t="s">
        <v>1271</v>
      </c>
      <c r="E796" s="75" t="s">
        <v>1266</v>
      </c>
      <c r="F796" s="75" t="s">
        <v>1267</v>
      </c>
      <c r="G796" s="75" t="s">
        <v>1268</v>
      </c>
    </row>
    <row r="797" spans="1:7" x14ac:dyDescent="0.2">
      <c r="A797" s="40">
        <v>4014</v>
      </c>
      <c r="B797" s="39" t="s">
        <v>645</v>
      </c>
      <c r="C797" s="40" t="s">
        <v>520</v>
      </c>
      <c r="D797" s="75" t="s">
        <v>1271</v>
      </c>
      <c r="E797" s="75" t="s">
        <v>1266</v>
      </c>
      <c r="F797" s="75" t="s">
        <v>1267</v>
      </c>
      <c r="G797" s="75" t="s">
        <v>1268</v>
      </c>
    </row>
    <row r="798" spans="1:7" x14ac:dyDescent="0.2">
      <c r="A798" s="40">
        <v>4015</v>
      </c>
      <c r="B798" s="39" t="s">
        <v>645</v>
      </c>
      <c r="C798" s="40" t="s">
        <v>520</v>
      </c>
      <c r="D798" s="75" t="s">
        <v>1271</v>
      </c>
      <c r="E798" s="75" t="s">
        <v>1266</v>
      </c>
      <c r="F798" s="75" t="s">
        <v>1267</v>
      </c>
      <c r="G798" s="75" t="s">
        <v>1268</v>
      </c>
    </row>
    <row r="799" spans="1:7" x14ac:dyDescent="0.2">
      <c r="A799" s="40">
        <v>4017</v>
      </c>
      <c r="B799" s="39" t="s">
        <v>645</v>
      </c>
      <c r="C799" s="40" t="s">
        <v>520</v>
      </c>
      <c r="D799" s="75" t="s">
        <v>1271</v>
      </c>
      <c r="E799" s="75" t="s">
        <v>1266</v>
      </c>
      <c r="F799" s="75" t="s">
        <v>1267</v>
      </c>
      <c r="G799" s="75" t="s">
        <v>1268</v>
      </c>
    </row>
    <row r="800" spans="1:7" x14ac:dyDescent="0.2">
      <c r="A800" s="40">
        <v>4018</v>
      </c>
      <c r="B800" s="39" t="s">
        <v>645</v>
      </c>
      <c r="C800" s="40" t="s">
        <v>520</v>
      </c>
      <c r="D800" s="75" t="s">
        <v>1271</v>
      </c>
      <c r="E800" s="75" t="s">
        <v>1266</v>
      </c>
      <c r="F800" s="75" t="s">
        <v>1267</v>
      </c>
      <c r="G800" s="75" t="s">
        <v>1268</v>
      </c>
    </row>
    <row r="801" spans="1:7" x14ac:dyDescent="0.2">
      <c r="A801" s="40">
        <v>4020</v>
      </c>
      <c r="B801" s="39" t="s">
        <v>646</v>
      </c>
      <c r="C801" s="40" t="s">
        <v>520</v>
      </c>
      <c r="D801" s="75" t="s">
        <v>1269</v>
      </c>
      <c r="E801" s="75" t="s">
        <v>1266</v>
      </c>
      <c r="F801" s="75" t="s">
        <v>1268</v>
      </c>
      <c r="G801" s="75" t="s">
        <v>1268</v>
      </c>
    </row>
    <row r="802" spans="1:7" x14ac:dyDescent="0.2">
      <c r="A802" s="40">
        <v>4021</v>
      </c>
      <c r="B802" s="39" t="s">
        <v>647</v>
      </c>
      <c r="C802" s="40" t="s">
        <v>520</v>
      </c>
      <c r="D802" s="75" t="s">
        <v>1271</v>
      </c>
      <c r="E802" s="75" t="s">
        <v>1266</v>
      </c>
      <c r="F802" s="75" t="s">
        <v>1267</v>
      </c>
      <c r="G802" s="75" t="s">
        <v>1268</v>
      </c>
    </row>
    <row r="803" spans="1:7" x14ac:dyDescent="0.2">
      <c r="A803" s="40">
        <v>4025</v>
      </c>
      <c r="B803" s="39" t="s">
        <v>645</v>
      </c>
      <c r="C803" s="40" t="s">
        <v>520</v>
      </c>
      <c r="D803" s="75" t="s">
        <v>1271</v>
      </c>
      <c r="E803" s="75" t="s">
        <v>1266</v>
      </c>
      <c r="F803" s="75" t="s">
        <v>1267</v>
      </c>
      <c r="G803" s="75" t="s">
        <v>1268</v>
      </c>
    </row>
    <row r="804" spans="1:7" x14ac:dyDescent="0.2">
      <c r="A804" s="40">
        <v>4026</v>
      </c>
      <c r="B804" s="39" t="s">
        <v>645</v>
      </c>
      <c r="C804" s="40" t="s">
        <v>520</v>
      </c>
      <c r="D804" s="75" t="s">
        <v>1271</v>
      </c>
      <c r="E804" s="75" t="s">
        <v>1266</v>
      </c>
      <c r="F804" s="75" t="s">
        <v>1267</v>
      </c>
      <c r="G804" s="75" t="s">
        <v>1268</v>
      </c>
    </row>
    <row r="805" spans="1:7" x14ac:dyDescent="0.2">
      <c r="A805" s="40">
        <v>4029</v>
      </c>
      <c r="B805" s="39" t="s">
        <v>645</v>
      </c>
      <c r="C805" s="40" t="s">
        <v>520</v>
      </c>
      <c r="D805" s="75" t="s">
        <v>1271</v>
      </c>
      <c r="E805" s="75" t="s">
        <v>1266</v>
      </c>
      <c r="F805" s="75" t="s">
        <v>1267</v>
      </c>
      <c r="G805" s="75" t="s">
        <v>1268</v>
      </c>
    </row>
    <row r="806" spans="1:7" x14ac:dyDescent="0.2">
      <c r="A806" s="40">
        <v>4030</v>
      </c>
      <c r="B806" s="39" t="s">
        <v>646</v>
      </c>
      <c r="C806" s="40" t="s">
        <v>520</v>
      </c>
      <c r="D806" s="75" t="s">
        <v>1269</v>
      </c>
      <c r="E806" s="75" t="s">
        <v>1266</v>
      </c>
      <c r="F806" s="75" t="s">
        <v>1268</v>
      </c>
      <c r="G806" s="75" t="s">
        <v>1268</v>
      </c>
    </row>
    <row r="807" spans="1:7" x14ac:dyDescent="0.2">
      <c r="A807" s="40">
        <v>4031</v>
      </c>
      <c r="B807" s="39" t="s">
        <v>647</v>
      </c>
      <c r="C807" s="40" t="s">
        <v>520</v>
      </c>
      <c r="D807" s="75" t="s">
        <v>1271</v>
      </c>
      <c r="E807" s="75" t="s">
        <v>1266</v>
      </c>
      <c r="F807" s="75" t="s">
        <v>1267</v>
      </c>
      <c r="G807" s="75" t="s">
        <v>1268</v>
      </c>
    </row>
    <row r="808" spans="1:7" x14ac:dyDescent="0.2">
      <c r="A808" s="40">
        <v>4033</v>
      </c>
      <c r="B808" s="39" t="s">
        <v>1553</v>
      </c>
      <c r="C808" s="40" t="s">
        <v>520</v>
      </c>
      <c r="D808" s="75" t="s">
        <v>1271</v>
      </c>
      <c r="E808" s="75" t="s">
        <v>1266</v>
      </c>
      <c r="F808" s="75" t="s">
        <v>1267</v>
      </c>
      <c r="G808" s="75" t="s">
        <v>1268</v>
      </c>
    </row>
    <row r="809" spans="1:7" x14ac:dyDescent="0.2">
      <c r="A809" s="40">
        <v>4034</v>
      </c>
      <c r="B809" s="39" t="s">
        <v>645</v>
      </c>
      <c r="C809" s="40" t="s">
        <v>520</v>
      </c>
      <c r="D809" s="75" t="s">
        <v>1271</v>
      </c>
      <c r="E809" s="75" t="s">
        <v>1266</v>
      </c>
      <c r="F809" s="75" t="s">
        <v>1267</v>
      </c>
      <c r="G809" s="75" t="s">
        <v>1268</v>
      </c>
    </row>
    <row r="810" spans="1:7" x14ac:dyDescent="0.2">
      <c r="A810" s="40">
        <v>4040</v>
      </c>
      <c r="B810" s="39" t="s">
        <v>646</v>
      </c>
      <c r="C810" s="40" t="s">
        <v>520</v>
      </c>
      <c r="D810" s="75" t="s">
        <v>1269</v>
      </c>
      <c r="E810" s="75" t="s">
        <v>1266</v>
      </c>
      <c r="F810" s="75" t="s">
        <v>1268</v>
      </c>
      <c r="G810" s="75" t="s">
        <v>1268</v>
      </c>
    </row>
    <row r="811" spans="1:7" x14ac:dyDescent="0.2">
      <c r="A811" s="40">
        <v>4041</v>
      </c>
      <c r="B811" s="39" t="s">
        <v>647</v>
      </c>
      <c r="C811" s="40" t="s">
        <v>520</v>
      </c>
      <c r="D811" s="75" t="s">
        <v>1271</v>
      </c>
      <c r="E811" s="75" t="s">
        <v>1266</v>
      </c>
      <c r="F811" s="75" t="s">
        <v>1267</v>
      </c>
      <c r="G811" s="75" t="s">
        <v>1268</v>
      </c>
    </row>
    <row r="812" spans="1:7" x14ac:dyDescent="0.2">
      <c r="A812" s="40">
        <v>4044</v>
      </c>
      <c r="B812" s="39" t="s">
        <v>645</v>
      </c>
      <c r="C812" s="40" t="s">
        <v>520</v>
      </c>
      <c r="D812" s="75" t="s">
        <v>1271</v>
      </c>
      <c r="E812" s="75" t="s">
        <v>1266</v>
      </c>
      <c r="F812" s="75" t="s">
        <v>1267</v>
      </c>
      <c r="G812" s="75" t="s">
        <v>1268</v>
      </c>
    </row>
    <row r="813" spans="1:7" x14ac:dyDescent="0.2">
      <c r="A813" s="40">
        <v>4046</v>
      </c>
      <c r="B813" s="39" t="s">
        <v>645</v>
      </c>
      <c r="C813" s="40" t="s">
        <v>520</v>
      </c>
      <c r="D813" s="75" t="s">
        <v>1271</v>
      </c>
      <c r="E813" s="75" t="s">
        <v>1266</v>
      </c>
      <c r="F813" s="75" t="s">
        <v>1267</v>
      </c>
      <c r="G813" s="75" t="s">
        <v>1268</v>
      </c>
    </row>
    <row r="814" spans="1:7" x14ac:dyDescent="0.2">
      <c r="A814" s="40">
        <v>4048</v>
      </c>
      <c r="B814" s="39" t="s">
        <v>1554</v>
      </c>
      <c r="C814" s="40" t="s">
        <v>520</v>
      </c>
      <c r="D814" s="75" t="s">
        <v>1269</v>
      </c>
      <c r="E814" s="75" t="s">
        <v>1266</v>
      </c>
      <c r="F814" s="75" t="s">
        <v>1268</v>
      </c>
      <c r="G814" s="75" t="s">
        <v>1268</v>
      </c>
    </row>
    <row r="815" spans="1:7" x14ac:dyDescent="0.2">
      <c r="A815" s="40">
        <v>4050</v>
      </c>
      <c r="B815" s="39" t="s">
        <v>1555</v>
      </c>
      <c r="C815" s="40" t="s">
        <v>520</v>
      </c>
      <c r="D815" s="75" t="s">
        <v>1269</v>
      </c>
      <c r="E815" s="75" t="s">
        <v>1266</v>
      </c>
      <c r="F815" s="75" t="s">
        <v>1268</v>
      </c>
      <c r="G815" s="75" t="s">
        <v>1268</v>
      </c>
    </row>
    <row r="816" spans="1:7" x14ac:dyDescent="0.2">
      <c r="A816" s="40">
        <v>4052</v>
      </c>
      <c r="B816" s="39" t="s">
        <v>1556</v>
      </c>
      <c r="C816" s="40" t="s">
        <v>520</v>
      </c>
      <c r="D816" s="75" t="s">
        <v>1269</v>
      </c>
      <c r="E816" s="75" t="s">
        <v>1266</v>
      </c>
      <c r="F816" s="75" t="s">
        <v>1268</v>
      </c>
      <c r="G816" s="75" t="s">
        <v>1268</v>
      </c>
    </row>
    <row r="817" spans="1:7" x14ac:dyDescent="0.2">
      <c r="A817" s="40">
        <v>4053</v>
      </c>
      <c r="B817" s="39" t="s">
        <v>1557</v>
      </c>
      <c r="C817" s="40" t="s">
        <v>520</v>
      </c>
      <c r="D817" s="75" t="s">
        <v>1269</v>
      </c>
      <c r="E817" s="75" t="s">
        <v>1266</v>
      </c>
      <c r="F817" s="75" t="s">
        <v>1268</v>
      </c>
      <c r="G817" s="75" t="s">
        <v>1268</v>
      </c>
    </row>
    <row r="818" spans="1:7" x14ac:dyDescent="0.2">
      <c r="A818" s="40">
        <v>4055</v>
      </c>
      <c r="B818" s="39" t="s">
        <v>1558</v>
      </c>
      <c r="C818" s="40" t="s">
        <v>520</v>
      </c>
      <c r="D818" s="75" t="s">
        <v>1269</v>
      </c>
      <c r="E818" s="75" t="s">
        <v>1266</v>
      </c>
      <c r="F818" s="75" t="s">
        <v>1268</v>
      </c>
      <c r="G818" s="75" t="s">
        <v>1267</v>
      </c>
    </row>
    <row r="819" spans="1:7" x14ac:dyDescent="0.2">
      <c r="A819" s="40">
        <v>4059</v>
      </c>
      <c r="B819" s="39" t="s">
        <v>1559</v>
      </c>
      <c r="C819" s="40" t="s">
        <v>520</v>
      </c>
      <c r="D819" s="75" t="s">
        <v>1271</v>
      </c>
      <c r="E819" s="75" t="s">
        <v>1266</v>
      </c>
      <c r="F819" s="75" t="s">
        <v>1267</v>
      </c>
      <c r="G819" s="75" t="s">
        <v>1268</v>
      </c>
    </row>
    <row r="820" spans="1:7" x14ac:dyDescent="0.2">
      <c r="A820" s="40">
        <v>4060</v>
      </c>
      <c r="B820" s="39" t="s">
        <v>1559</v>
      </c>
      <c r="C820" s="40" t="s">
        <v>520</v>
      </c>
      <c r="D820" s="75" t="s">
        <v>1269</v>
      </c>
      <c r="E820" s="75" t="s">
        <v>1266</v>
      </c>
      <c r="F820" s="75" t="s">
        <v>1268</v>
      </c>
      <c r="G820" s="75" t="s">
        <v>1268</v>
      </c>
    </row>
    <row r="821" spans="1:7" x14ac:dyDescent="0.2">
      <c r="A821" s="40">
        <v>4061</v>
      </c>
      <c r="B821" s="39" t="s">
        <v>1560</v>
      </c>
      <c r="C821" s="40" t="s">
        <v>520</v>
      </c>
      <c r="D821" s="75" t="s">
        <v>1269</v>
      </c>
      <c r="E821" s="75" t="s">
        <v>1266</v>
      </c>
      <c r="F821" s="75" t="s">
        <v>1268</v>
      </c>
      <c r="G821" s="75" t="s">
        <v>1268</v>
      </c>
    </row>
    <row r="822" spans="1:7" x14ac:dyDescent="0.2">
      <c r="A822" s="40">
        <v>4062</v>
      </c>
      <c r="B822" s="39" t="s">
        <v>1561</v>
      </c>
      <c r="C822" s="40" t="s">
        <v>520</v>
      </c>
      <c r="D822" s="75" t="s">
        <v>1269</v>
      </c>
      <c r="E822" s="75" t="s">
        <v>1266</v>
      </c>
      <c r="F822" s="75" t="s">
        <v>1268</v>
      </c>
      <c r="G822" s="75" t="s">
        <v>1267</v>
      </c>
    </row>
    <row r="823" spans="1:7" x14ac:dyDescent="0.2">
      <c r="A823" s="40">
        <v>4063</v>
      </c>
      <c r="B823" s="39" t="s">
        <v>1565</v>
      </c>
      <c r="C823" s="40" t="s">
        <v>520</v>
      </c>
      <c r="D823" s="75" t="s">
        <v>1269</v>
      </c>
      <c r="E823" s="75" t="s">
        <v>1266</v>
      </c>
      <c r="F823" s="75" t="s">
        <v>1268</v>
      </c>
      <c r="G823" s="75" t="s">
        <v>1268</v>
      </c>
    </row>
    <row r="824" spans="1:7" x14ac:dyDescent="0.2">
      <c r="A824" s="40">
        <v>4064</v>
      </c>
      <c r="B824" s="39" t="s">
        <v>1566</v>
      </c>
      <c r="C824" s="40" t="s">
        <v>520</v>
      </c>
      <c r="D824" s="75" t="s">
        <v>1269</v>
      </c>
      <c r="E824" s="75" t="s">
        <v>1266</v>
      </c>
      <c r="F824" s="75" t="s">
        <v>1268</v>
      </c>
      <c r="G824" s="75" t="s">
        <v>1268</v>
      </c>
    </row>
    <row r="825" spans="1:7" x14ac:dyDescent="0.2">
      <c r="A825" s="40">
        <v>4066</v>
      </c>
      <c r="B825" s="39" t="s">
        <v>1560</v>
      </c>
      <c r="C825" s="40" t="s">
        <v>520</v>
      </c>
      <c r="D825" s="75" t="s">
        <v>1271</v>
      </c>
      <c r="E825" s="75" t="s">
        <v>1266</v>
      </c>
      <c r="F825" s="75" t="s">
        <v>1267</v>
      </c>
      <c r="G825" s="75" t="s">
        <v>1268</v>
      </c>
    </row>
    <row r="826" spans="1:7" x14ac:dyDescent="0.2">
      <c r="A826" s="40">
        <v>4069</v>
      </c>
      <c r="B826" s="39" t="s">
        <v>1559</v>
      </c>
      <c r="C826" s="40" t="s">
        <v>520</v>
      </c>
      <c r="D826" s="75" t="s">
        <v>1271</v>
      </c>
      <c r="E826" s="75" t="s">
        <v>1266</v>
      </c>
      <c r="F826" s="75" t="s">
        <v>1267</v>
      </c>
      <c r="G826" s="75" t="s">
        <v>1268</v>
      </c>
    </row>
    <row r="827" spans="1:7" x14ac:dyDescent="0.2">
      <c r="A827" s="40">
        <v>4070</v>
      </c>
      <c r="B827" s="39" t="s">
        <v>1567</v>
      </c>
      <c r="C827" s="40" t="s">
        <v>520</v>
      </c>
      <c r="D827" s="75" t="s">
        <v>1269</v>
      </c>
      <c r="E827" s="75" t="s">
        <v>1266</v>
      </c>
      <c r="F827" s="75" t="s">
        <v>1268</v>
      </c>
      <c r="G827" s="75" t="s">
        <v>1268</v>
      </c>
    </row>
    <row r="828" spans="1:7" x14ac:dyDescent="0.2">
      <c r="A828" s="40">
        <v>4072</v>
      </c>
      <c r="B828" s="39" t="s">
        <v>1568</v>
      </c>
      <c r="C828" s="40" t="s">
        <v>520</v>
      </c>
      <c r="D828" s="75" t="s">
        <v>1269</v>
      </c>
      <c r="E828" s="75" t="s">
        <v>1266</v>
      </c>
      <c r="F828" s="75" t="s">
        <v>1268</v>
      </c>
      <c r="G828" s="75" t="s">
        <v>1268</v>
      </c>
    </row>
    <row r="829" spans="1:7" x14ac:dyDescent="0.2">
      <c r="A829" s="40">
        <v>4073</v>
      </c>
      <c r="B829" s="39" t="s">
        <v>1569</v>
      </c>
      <c r="C829" s="40" t="s">
        <v>520</v>
      </c>
      <c r="D829" s="75" t="s">
        <v>1269</v>
      </c>
      <c r="E829" s="75" t="s">
        <v>1266</v>
      </c>
      <c r="F829" s="75" t="s">
        <v>1268</v>
      </c>
      <c r="G829" s="75" t="s">
        <v>1268</v>
      </c>
    </row>
    <row r="830" spans="1:7" x14ac:dyDescent="0.2">
      <c r="A830" s="40">
        <v>4074</v>
      </c>
      <c r="B830" s="39" t="s">
        <v>1570</v>
      </c>
      <c r="C830" s="40" t="s">
        <v>520</v>
      </c>
      <c r="D830" s="75" t="s">
        <v>1269</v>
      </c>
      <c r="E830" s="75" t="s">
        <v>1266</v>
      </c>
      <c r="F830" s="75" t="s">
        <v>1268</v>
      </c>
      <c r="G830" s="75" t="s">
        <v>1267</v>
      </c>
    </row>
    <row r="831" spans="1:7" x14ac:dyDescent="0.2">
      <c r="A831" s="40">
        <v>4075</v>
      </c>
      <c r="B831" s="39" t="s">
        <v>1571</v>
      </c>
      <c r="C831" s="40" t="s">
        <v>520</v>
      </c>
      <c r="D831" s="75" t="s">
        <v>1269</v>
      </c>
      <c r="E831" s="75" t="s">
        <v>1266</v>
      </c>
      <c r="F831" s="75" t="s">
        <v>1268</v>
      </c>
      <c r="G831" s="75" t="s">
        <v>1267</v>
      </c>
    </row>
    <row r="832" spans="1:7" x14ac:dyDescent="0.2">
      <c r="A832" s="40">
        <v>4076</v>
      </c>
      <c r="B832" s="39" t="s">
        <v>1572</v>
      </c>
      <c r="C832" s="40" t="s">
        <v>520</v>
      </c>
      <c r="D832" s="75" t="s">
        <v>1269</v>
      </c>
      <c r="E832" s="75" t="s">
        <v>1266</v>
      </c>
      <c r="F832" s="75" t="s">
        <v>1268</v>
      </c>
      <c r="G832" s="75" t="s">
        <v>1267</v>
      </c>
    </row>
    <row r="833" spans="1:7" x14ac:dyDescent="0.2">
      <c r="A833" s="40">
        <v>4081</v>
      </c>
      <c r="B833" s="39" t="s">
        <v>1573</v>
      </c>
      <c r="C833" s="40" t="s">
        <v>520</v>
      </c>
      <c r="D833" s="75" t="s">
        <v>1269</v>
      </c>
      <c r="E833" s="75" t="s">
        <v>1266</v>
      </c>
      <c r="F833" s="75" t="s">
        <v>1268</v>
      </c>
      <c r="G833" s="75" t="s">
        <v>1268</v>
      </c>
    </row>
    <row r="834" spans="1:7" x14ac:dyDescent="0.2">
      <c r="A834" s="40">
        <v>4082</v>
      </c>
      <c r="B834" s="39" t="s">
        <v>1574</v>
      </c>
      <c r="C834" s="40" t="s">
        <v>520</v>
      </c>
      <c r="D834" s="75" t="s">
        <v>1269</v>
      </c>
      <c r="E834" s="75" t="s">
        <v>1266</v>
      </c>
      <c r="F834" s="75" t="s">
        <v>1268</v>
      </c>
      <c r="G834" s="75" t="s">
        <v>1267</v>
      </c>
    </row>
    <row r="835" spans="1:7" x14ac:dyDescent="0.2">
      <c r="A835" s="40">
        <v>4083</v>
      </c>
      <c r="B835" s="39" t="s">
        <v>649</v>
      </c>
      <c r="C835" s="40" t="s">
        <v>520</v>
      </c>
      <c r="D835" s="75" t="s">
        <v>1269</v>
      </c>
      <c r="E835" s="75" t="s">
        <v>1266</v>
      </c>
      <c r="F835" s="75" t="s">
        <v>1268</v>
      </c>
      <c r="G835" s="75" t="s">
        <v>1268</v>
      </c>
    </row>
    <row r="836" spans="1:7" x14ac:dyDescent="0.2">
      <c r="A836" s="40">
        <v>4084</v>
      </c>
      <c r="B836" s="39" t="s">
        <v>650</v>
      </c>
      <c r="C836" s="40" t="s">
        <v>520</v>
      </c>
      <c r="D836" s="75" t="s">
        <v>1269</v>
      </c>
      <c r="E836" s="75" t="s">
        <v>1266</v>
      </c>
      <c r="F836" s="75" t="s">
        <v>1268</v>
      </c>
      <c r="G836" s="75" t="s">
        <v>1267</v>
      </c>
    </row>
    <row r="837" spans="1:7" x14ac:dyDescent="0.2">
      <c r="A837" s="40">
        <v>4085</v>
      </c>
      <c r="B837" s="39" t="s">
        <v>651</v>
      </c>
      <c r="C837" s="40" t="s">
        <v>520</v>
      </c>
      <c r="D837" s="75" t="s">
        <v>1269</v>
      </c>
      <c r="E837" s="75" t="s">
        <v>1266</v>
      </c>
      <c r="F837" s="75" t="s">
        <v>1268</v>
      </c>
      <c r="G837" s="75" t="s">
        <v>1268</v>
      </c>
    </row>
    <row r="838" spans="1:7" x14ac:dyDescent="0.2">
      <c r="A838" s="40">
        <v>4090</v>
      </c>
      <c r="B838" s="39" t="s">
        <v>652</v>
      </c>
      <c r="C838" s="40" t="s">
        <v>520</v>
      </c>
      <c r="D838" s="75" t="s">
        <v>1269</v>
      </c>
      <c r="E838" s="75" t="s">
        <v>1266</v>
      </c>
      <c r="F838" s="75" t="s">
        <v>1268</v>
      </c>
      <c r="G838" s="75" t="s">
        <v>1268</v>
      </c>
    </row>
    <row r="839" spans="1:7" x14ac:dyDescent="0.2">
      <c r="A839" s="40">
        <v>4091</v>
      </c>
      <c r="B839" s="39" t="s">
        <v>653</v>
      </c>
      <c r="C839" s="40" t="s">
        <v>520</v>
      </c>
      <c r="D839" s="75" t="s">
        <v>1269</v>
      </c>
      <c r="E839" s="75" t="s">
        <v>1266</v>
      </c>
      <c r="F839" s="75" t="s">
        <v>1268</v>
      </c>
      <c r="G839" s="75" t="s">
        <v>1267</v>
      </c>
    </row>
    <row r="840" spans="1:7" x14ac:dyDescent="0.2">
      <c r="A840" s="40">
        <v>4092</v>
      </c>
      <c r="B840" s="39" t="s">
        <v>654</v>
      </c>
      <c r="C840" s="40" t="s">
        <v>520</v>
      </c>
      <c r="D840" s="75" t="s">
        <v>1269</v>
      </c>
      <c r="E840" s="75" t="s">
        <v>1266</v>
      </c>
      <c r="F840" s="75" t="s">
        <v>1268</v>
      </c>
      <c r="G840" s="75" t="s">
        <v>1268</v>
      </c>
    </row>
    <row r="841" spans="1:7" x14ac:dyDescent="0.2">
      <c r="A841" s="40">
        <v>4100</v>
      </c>
      <c r="B841" s="39" t="s">
        <v>655</v>
      </c>
      <c r="C841" s="40" t="s">
        <v>520</v>
      </c>
      <c r="D841" s="75" t="s">
        <v>1269</v>
      </c>
      <c r="E841" s="75" t="s">
        <v>1266</v>
      </c>
      <c r="F841" s="75" t="s">
        <v>1268</v>
      </c>
      <c r="G841" s="75" t="s">
        <v>1268</v>
      </c>
    </row>
    <row r="842" spans="1:7" x14ac:dyDescent="0.2">
      <c r="A842" s="40">
        <v>4101</v>
      </c>
      <c r="B842" s="39" t="s">
        <v>656</v>
      </c>
      <c r="C842" s="40" t="s">
        <v>520</v>
      </c>
      <c r="D842" s="75" t="s">
        <v>1269</v>
      </c>
      <c r="E842" s="75" t="s">
        <v>1266</v>
      </c>
      <c r="F842" s="75" t="s">
        <v>1268</v>
      </c>
      <c r="G842" s="75" t="s">
        <v>1268</v>
      </c>
    </row>
    <row r="843" spans="1:7" x14ac:dyDescent="0.2">
      <c r="A843" s="40">
        <v>4111</v>
      </c>
      <c r="B843" s="39" t="s">
        <v>657</v>
      </c>
      <c r="C843" s="40" t="s">
        <v>520</v>
      </c>
      <c r="D843" s="75" t="s">
        <v>1269</v>
      </c>
      <c r="E843" s="75" t="s">
        <v>1266</v>
      </c>
      <c r="F843" s="75" t="s">
        <v>1268</v>
      </c>
      <c r="G843" s="75" t="s">
        <v>1268</v>
      </c>
    </row>
    <row r="844" spans="1:7" x14ac:dyDescent="0.2">
      <c r="A844" s="40">
        <v>4112</v>
      </c>
      <c r="B844" s="39" t="s">
        <v>658</v>
      </c>
      <c r="C844" s="40" t="s">
        <v>520</v>
      </c>
      <c r="D844" s="75" t="s">
        <v>1269</v>
      </c>
      <c r="E844" s="75" t="s">
        <v>1266</v>
      </c>
      <c r="F844" s="75" t="s">
        <v>1268</v>
      </c>
      <c r="G844" s="75" t="s">
        <v>1267</v>
      </c>
    </row>
    <row r="845" spans="1:7" x14ac:dyDescent="0.2">
      <c r="A845" s="40">
        <v>4113</v>
      </c>
      <c r="B845" s="39" t="s">
        <v>659</v>
      </c>
      <c r="C845" s="40" t="s">
        <v>520</v>
      </c>
      <c r="D845" s="75" t="s">
        <v>1269</v>
      </c>
      <c r="E845" s="75" t="s">
        <v>1266</v>
      </c>
      <c r="F845" s="75" t="s">
        <v>1268</v>
      </c>
      <c r="G845" s="75" t="s">
        <v>1268</v>
      </c>
    </row>
    <row r="846" spans="1:7" x14ac:dyDescent="0.2">
      <c r="A846" s="40">
        <v>4114</v>
      </c>
      <c r="B846" s="39" t="s">
        <v>660</v>
      </c>
      <c r="C846" s="40" t="s">
        <v>520</v>
      </c>
      <c r="D846" s="75" t="s">
        <v>1269</v>
      </c>
      <c r="E846" s="75" t="s">
        <v>1266</v>
      </c>
      <c r="F846" s="75" t="s">
        <v>1268</v>
      </c>
      <c r="G846" s="75" t="s">
        <v>1267</v>
      </c>
    </row>
    <row r="847" spans="1:7" x14ac:dyDescent="0.2">
      <c r="A847" s="40">
        <v>4115</v>
      </c>
      <c r="B847" s="39" t="s">
        <v>661</v>
      </c>
      <c r="C847" s="40" t="s">
        <v>520</v>
      </c>
      <c r="D847" s="75" t="s">
        <v>1269</v>
      </c>
      <c r="E847" s="75" t="s">
        <v>1266</v>
      </c>
      <c r="F847" s="75" t="s">
        <v>1268</v>
      </c>
      <c r="G847" s="75" t="s">
        <v>1267</v>
      </c>
    </row>
    <row r="848" spans="1:7" x14ac:dyDescent="0.2">
      <c r="A848" s="40">
        <v>4120</v>
      </c>
      <c r="B848" s="39" t="s">
        <v>662</v>
      </c>
      <c r="C848" s="40" t="s">
        <v>520</v>
      </c>
      <c r="D848" s="75" t="s">
        <v>1269</v>
      </c>
      <c r="E848" s="75" t="s">
        <v>1266</v>
      </c>
      <c r="F848" s="75" t="s">
        <v>1268</v>
      </c>
      <c r="G848" s="75" t="s">
        <v>1268</v>
      </c>
    </row>
    <row r="849" spans="1:7" x14ac:dyDescent="0.2">
      <c r="A849" s="40">
        <v>4121</v>
      </c>
      <c r="B849" s="39" t="s">
        <v>663</v>
      </c>
      <c r="C849" s="40" t="s">
        <v>520</v>
      </c>
      <c r="D849" s="75" t="s">
        <v>1269</v>
      </c>
      <c r="E849" s="75" t="s">
        <v>1266</v>
      </c>
      <c r="F849" s="75" t="s">
        <v>1268</v>
      </c>
      <c r="G849" s="75" t="s">
        <v>1268</v>
      </c>
    </row>
    <row r="850" spans="1:7" x14ac:dyDescent="0.2">
      <c r="A850" s="40">
        <v>4122</v>
      </c>
      <c r="B850" s="39" t="s">
        <v>664</v>
      </c>
      <c r="C850" s="40" t="s">
        <v>520</v>
      </c>
      <c r="D850" s="75" t="s">
        <v>1269</v>
      </c>
      <c r="E850" s="75" t="s">
        <v>1266</v>
      </c>
      <c r="F850" s="75" t="s">
        <v>1268</v>
      </c>
      <c r="G850" s="75" t="s">
        <v>1267</v>
      </c>
    </row>
    <row r="851" spans="1:7" x14ac:dyDescent="0.2">
      <c r="A851" s="40">
        <v>4131</v>
      </c>
      <c r="B851" s="39" t="s">
        <v>665</v>
      </c>
      <c r="C851" s="40" t="s">
        <v>520</v>
      </c>
      <c r="D851" s="75" t="s">
        <v>1269</v>
      </c>
      <c r="E851" s="75" t="s">
        <v>1266</v>
      </c>
      <c r="F851" s="75" t="s">
        <v>1268</v>
      </c>
      <c r="G851" s="75" t="s">
        <v>1267</v>
      </c>
    </row>
    <row r="852" spans="1:7" x14ac:dyDescent="0.2">
      <c r="A852" s="40">
        <v>4132</v>
      </c>
      <c r="B852" s="39" t="s">
        <v>1625</v>
      </c>
      <c r="C852" s="40" t="s">
        <v>520</v>
      </c>
      <c r="D852" s="75" t="s">
        <v>1269</v>
      </c>
      <c r="E852" s="75" t="s">
        <v>1266</v>
      </c>
      <c r="F852" s="75" t="s">
        <v>1268</v>
      </c>
      <c r="G852" s="75" t="s">
        <v>1268</v>
      </c>
    </row>
    <row r="853" spans="1:7" x14ac:dyDescent="0.2">
      <c r="A853" s="40">
        <v>4133</v>
      </c>
      <c r="B853" s="39" t="s">
        <v>1626</v>
      </c>
      <c r="C853" s="40" t="s">
        <v>520</v>
      </c>
      <c r="D853" s="75" t="s">
        <v>1269</v>
      </c>
      <c r="E853" s="75" t="s">
        <v>1266</v>
      </c>
      <c r="F853" s="75" t="s">
        <v>1268</v>
      </c>
      <c r="G853" s="75" t="s">
        <v>1267</v>
      </c>
    </row>
    <row r="854" spans="1:7" x14ac:dyDescent="0.2">
      <c r="A854" s="40">
        <v>4134</v>
      </c>
      <c r="B854" s="39" t="s">
        <v>1627</v>
      </c>
      <c r="C854" s="40" t="s">
        <v>520</v>
      </c>
      <c r="D854" s="75" t="s">
        <v>1269</v>
      </c>
      <c r="E854" s="75" t="s">
        <v>1266</v>
      </c>
      <c r="F854" s="75" t="s">
        <v>1268</v>
      </c>
      <c r="G854" s="75" t="s">
        <v>1267</v>
      </c>
    </row>
    <row r="855" spans="1:7" x14ac:dyDescent="0.2">
      <c r="A855" s="40">
        <v>4141</v>
      </c>
      <c r="B855" s="39" t="s">
        <v>1628</v>
      </c>
      <c r="C855" s="40" t="s">
        <v>520</v>
      </c>
      <c r="D855" s="75" t="s">
        <v>1269</v>
      </c>
      <c r="E855" s="75" t="s">
        <v>1266</v>
      </c>
      <c r="F855" s="75" t="s">
        <v>1268</v>
      </c>
      <c r="G855" s="75" t="s">
        <v>1267</v>
      </c>
    </row>
    <row r="856" spans="1:7" x14ac:dyDescent="0.2">
      <c r="A856" s="40">
        <v>4142</v>
      </c>
      <c r="B856" s="39" t="s">
        <v>1629</v>
      </c>
      <c r="C856" s="40" t="s">
        <v>520</v>
      </c>
      <c r="D856" s="75" t="s">
        <v>1269</v>
      </c>
      <c r="E856" s="75" t="s">
        <v>1266</v>
      </c>
      <c r="F856" s="75" t="s">
        <v>1268</v>
      </c>
      <c r="G856" s="75" t="s">
        <v>1268</v>
      </c>
    </row>
    <row r="857" spans="1:7" x14ac:dyDescent="0.2">
      <c r="A857" s="40">
        <v>4143</v>
      </c>
      <c r="B857" s="39" t="s">
        <v>1630</v>
      </c>
      <c r="C857" s="40" t="s">
        <v>520</v>
      </c>
      <c r="D857" s="75" t="s">
        <v>1269</v>
      </c>
      <c r="E857" s="75" t="s">
        <v>1266</v>
      </c>
      <c r="F857" s="75" t="s">
        <v>1268</v>
      </c>
      <c r="G857" s="75" t="s">
        <v>1268</v>
      </c>
    </row>
    <row r="858" spans="1:7" x14ac:dyDescent="0.2">
      <c r="A858" s="40">
        <v>4144</v>
      </c>
      <c r="B858" s="39" t="s">
        <v>1631</v>
      </c>
      <c r="C858" s="40" t="s">
        <v>520</v>
      </c>
      <c r="D858" s="75" t="s">
        <v>1269</v>
      </c>
      <c r="E858" s="75" t="s">
        <v>1266</v>
      </c>
      <c r="F858" s="75" t="s">
        <v>1268</v>
      </c>
      <c r="G858" s="75" t="s">
        <v>1267</v>
      </c>
    </row>
    <row r="859" spans="1:7" x14ac:dyDescent="0.2">
      <c r="A859" s="40">
        <v>4150</v>
      </c>
      <c r="B859" s="39" t="s">
        <v>1632</v>
      </c>
      <c r="C859" s="40" t="s">
        <v>520</v>
      </c>
      <c r="D859" s="75" t="s">
        <v>1269</v>
      </c>
      <c r="E859" s="75" t="s">
        <v>1266</v>
      </c>
      <c r="F859" s="75" t="s">
        <v>1268</v>
      </c>
      <c r="G859" s="75" t="s">
        <v>1268</v>
      </c>
    </row>
    <row r="860" spans="1:7" x14ac:dyDescent="0.2">
      <c r="A860" s="40">
        <v>4152</v>
      </c>
      <c r="B860" s="39" t="s">
        <v>1633</v>
      </c>
      <c r="C860" s="40" t="s">
        <v>520</v>
      </c>
      <c r="D860" s="75" t="s">
        <v>1269</v>
      </c>
      <c r="E860" s="75" t="s">
        <v>1266</v>
      </c>
      <c r="F860" s="75" t="s">
        <v>1268</v>
      </c>
      <c r="G860" s="75" t="s">
        <v>1267</v>
      </c>
    </row>
    <row r="861" spans="1:7" x14ac:dyDescent="0.2">
      <c r="A861" s="40">
        <v>4153</v>
      </c>
      <c r="B861" s="39" t="s">
        <v>1634</v>
      </c>
      <c r="C861" s="40" t="s">
        <v>520</v>
      </c>
      <c r="D861" s="75" t="s">
        <v>1269</v>
      </c>
      <c r="E861" s="75" t="s">
        <v>1266</v>
      </c>
      <c r="F861" s="75" t="s">
        <v>1268</v>
      </c>
      <c r="G861" s="75" t="s">
        <v>1268</v>
      </c>
    </row>
    <row r="862" spans="1:7" x14ac:dyDescent="0.2">
      <c r="A862" s="40">
        <v>4154</v>
      </c>
      <c r="B862" s="39" t="s">
        <v>1635</v>
      </c>
      <c r="C862" s="40" t="s">
        <v>520</v>
      </c>
      <c r="D862" s="75" t="s">
        <v>1269</v>
      </c>
      <c r="E862" s="75" t="s">
        <v>1266</v>
      </c>
      <c r="F862" s="75" t="s">
        <v>1268</v>
      </c>
      <c r="G862" s="75" t="s">
        <v>1267</v>
      </c>
    </row>
    <row r="863" spans="1:7" x14ac:dyDescent="0.2">
      <c r="A863" s="40">
        <v>4160</v>
      </c>
      <c r="B863" s="39" t="s">
        <v>1636</v>
      </c>
      <c r="C863" s="40" t="s">
        <v>520</v>
      </c>
      <c r="D863" s="75" t="s">
        <v>1269</v>
      </c>
      <c r="E863" s="75" t="s">
        <v>1266</v>
      </c>
      <c r="F863" s="75" t="s">
        <v>1268</v>
      </c>
      <c r="G863" s="75" t="s">
        <v>1268</v>
      </c>
    </row>
    <row r="864" spans="1:7" x14ac:dyDescent="0.2">
      <c r="A864" s="40">
        <v>4161</v>
      </c>
      <c r="B864" s="39" t="s">
        <v>1637</v>
      </c>
      <c r="C864" s="40" t="s">
        <v>520</v>
      </c>
      <c r="D864" s="75" t="s">
        <v>1269</v>
      </c>
      <c r="E864" s="75" t="s">
        <v>1266</v>
      </c>
      <c r="F864" s="75" t="s">
        <v>1268</v>
      </c>
      <c r="G864" s="75" t="s">
        <v>1268</v>
      </c>
    </row>
    <row r="865" spans="1:7" x14ac:dyDescent="0.2">
      <c r="A865" s="40">
        <v>4162</v>
      </c>
      <c r="B865" s="39" t="s">
        <v>1638</v>
      </c>
      <c r="C865" s="40" t="s">
        <v>520</v>
      </c>
      <c r="D865" s="75" t="s">
        <v>1269</v>
      </c>
      <c r="E865" s="75" t="s">
        <v>1266</v>
      </c>
      <c r="F865" s="75" t="s">
        <v>1268</v>
      </c>
      <c r="G865" s="75" t="s">
        <v>1267</v>
      </c>
    </row>
    <row r="866" spans="1:7" x14ac:dyDescent="0.2">
      <c r="A866" s="40">
        <v>4163</v>
      </c>
      <c r="B866" s="39" t="s">
        <v>1639</v>
      </c>
      <c r="C866" s="40" t="s">
        <v>520</v>
      </c>
      <c r="D866" s="75" t="s">
        <v>1269</v>
      </c>
      <c r="E866" s="75" t="s">
        <v>1266</v>
      </c>
      <c r="F866" s="75" t="s">
        <v>1268</v>
      </c>
      <c r="G866" s="75" t="s">
        <v>1267</v>
      </c>
    </row>
    <row r="867" spans="1:7" x14ac:dyDescent="0.2">
      <c r="A867" s="40">
        <v>4164</v>
      </c>
      <c r="B867" s="39" t="s">
        <v>1640</v>
      </c>
      <c r="C867" s="40" t="s">
        <v>520</v>
      </c>
      <c r="D867" s="75" t="s">
        <v>1269</v>
      </c>
      <c r="E867" s="75" t="s">
        <v>1266</v>
      </c>
      <c r="F867" s="75" t="s">
        <v>1268</v>
      </c>
      <c r="G867" s="75" t="s">
        <v>1267</v>
      </c>
    </row>
    <row r="868" spans="1:7" x14ac:dyDescent="0.2">
      <c r="A868" s="40">
        <v>4170</v>
      </c>
      <c r="B868" s="39" t="s">
        <v>1641</v>
      </c>
      <c r="C868" s="40" t="s">
        <v>520</v>
      </c>
      <c r="D868" s="75" t="s">
        <v>1269</v>
      </c>
      <c r="E868" s="75" t="s">
        <v>1266</v>
      </c>
      <c r="F868" s="75" t="s">
        <v>1268</v>
      </c>
      <c r="G868" s="75" t="s">
        <v>1268</v>
      </c>
    </row>
    <row r="869" spans="1:7" x14ac:dyDescent="0.2">
      <c r="A869" s="40">
        <v>4171</v>
      </c>
      <c r="B869" s="39" t="s">
        <v>1642</v>
      </c>
      <c r="C869" s="40" t="s">
        <v>520</v>
      </c>
      <c r="D869" s="75" t="s">
        <v>1269</v>
      </c>
      <c r="E869" s="75" t="s">
        <v>1266</v>
      </c>
      <c r="F869" s="75" t="s">
        <v>1268</v>
      </c>
      <c r="G869" s="75" t="s">
        <v>1268</v>
      </c>
    </row>
    <row r="870" spans="1:7" x14ac:dyDescent="0.2">
      <c r="A870" s="40">
        <v>4172</v>
      </c>
      <c r="B870" s="39" t="s">
        <v>1644</v>
      </c>
      <c r="C870" s="40" t="s">
        <v>520</v>
      </c>
      <c r="D870" s="75" t="s">
        <v>1269</v>
      </c>
      <c r="E870" s="75" t="s">
        <v>1266</v>
      </c>
      <c r="F870" s="75" t="s">
        <v>1268</v>
      </c>
      <c r="G870" s="75" t="s">
        <v>1267</v>
      </c>
    </row>
    <row r="871" spans="1:7" x14ac:dyDescent="0.2">
      <c r="A871" s="40">
        <v>4173</v>
      </c>
      <c r="B871" s="39" t="s">
        <v>1645</v>
      </c>
      <c r="C871" s="40" t="s">
        <v>520</v>
      </c>
      <c r="D871" s="75" t="s">
        <v>1269</v>
      </c>
      <c r="E871" s="75" t="s">
        <v>1266</v>
      </c>
      <c r="F871" s="75" t="s">
        <v>1268</v>
      </c>
      <c r="G871" s="75" t="s">
        <v>1267</v>
      </c>
    </row>
    <row r="872" spans="1:7" x14ac:dyDescent="0.2">
      <c r="A872" s="40">
        <v>4174</v>
      </c>
      <c r="B872" s="39" t="s">
        <v>1646</v>
      </c>
      <c r="C872" s="40" t="s">
        <v>520</v>
      </c>
      <c r="D872" s="75" t="s">
        <v>1269</v>
      </c>
      <c r="E872" s="75" t="s">
        <v>1266</v>
      </c>
      <c r="F872" s="75" t="s">
        <v>1268</v>
      </c>
      <c r="G872" s="75" t="s">
        <v>1267</v>
      </c>
    </row>
    <row r="873" spans="1:7" x14ac:dyDescent="0.2">
      <c r="A873" s="40">
        <v>4175</v>
      </c>
      <c r="B873" s="39" t="s">
        <v>1647</v>
      </c>
      <c r="C873" s="40" t="s">
        <v>520</v>
      </c>
      <c r="D873" s="75" t="s">
        <v>1269</v>
      </c>
      <c r="E873" s="75" t="s">
        <v>1266</v>
      </c>
      <c r="F873" s="75" t="s">
        <v>1268</v>
      </c>
      <c r="G873" s="75" t="s">
        <v>1268</v>
      </c>
    </row>
    <row r="874" spans="1:7" x14ac:dyDescent="0.2">
      <c r="A874" s="40">
        <v>4180</v>
      </c>
      <c r="B874" s="39" t="s">
        <v>1648</v>
      </c>
      <c r="C874" s="40" t="s">
        <v>520</v>
      </c>
      <c r="D874" s="75" t="s">
        <v>1269</v>
      </c>
      <c r="E874" s="75" t="s">
        <v>1266</v>
      </c>
      <c r="F874" s="75" t="s">
        <v>1268</v>
      </c>
      <c r="G874" s="75" t="s">
        <v>1268</v>
      </c>
    </row>
    <row r="875" spans="1:7" x14ac:dyDescent="0.2">
      <c r="A875" s="40">
        <v>4181</v>
      </c>
      <c r="B875" s="39" t="s">
        <v>1649</v>
      </c>
      <c r="C875" s="40" t="s">
        <v>520</v>
      </c>
      <c r="D875" s="75" t="s">
        <v>1269</v>
      </c>
      <c r="E875" s="75" t="s">
        <v>1266</v>
      </c>
      <c r="F875" s="75" t="s">
        <v>1268</v>
      </c>
      <c r="G875" s="75" t="s">
        <v>1268</v>
      </c>
    </row>
    <row r="876" spans="1:7" x14ac:dyDescent="0.2">
      <c r="A876" s="40">
        <v>4182</v>
      </c>
      <c r="B876" s="39" t="s">
        <v>1650</v>
      </c>
      <c r="C876" s="40" t="s">
        <v>520</v>
      </c>
      <c r="D876" s="75" t="s">
        <v>1269</v>
      </c>
      <c r="E876" s="75" t="s">
        <v>1266</v>
      </c>
      <c r="F876" s="75" t="s">
        <v>1268</v>
      </c>
      <c r="G876" s="75" t="s">
        <v>1267</v>
      </c>
    </row>
    <row r="877" spans="1:7" x14ac:dyDescent="0.2">
      <c r="A877" s="40">
        <v>4183</v>
      </c>
      <c r="B877" s="39" t="s">
        <v>1651</v>
      </c>
      <c r="C877" s="40" t="s">
        <v>520</v>
      </c>
      <c r="D877" s="75" t="s">
        <v>1269</v>
      </c>
      <c r="E877" s="75" t="s">
        <v>1266</v>
      </c>
      <c r="F877" s="75" t="s">
        <v>1268</v>
      </c>
      <c r="G877" s="75" t="s">
        <v>1267</v>
      </c>
    </row>
    <row r="878" spans="1:7" x14ac:dyDescent="0.2">
      <c r="A878" s="40">
        <v>4184</v>
      </c>
      <c r="B878" s="39" t="s">
        <v>1652</v>
      </c>
      <c r="C878" s="40" t="s">
        <v>520</v>
      </c>
      <c r="D878" s="75" t="s">
        <v>1269</v>
      </c>
      <c r="E878" s="75" t="s">
        <v>1266</v>
      </c>
      <c r="F878" s="75" t="s">
        <v>1268</v>
      </c>
      <c r="G878" s="75" t="s">
        <v>1267</v>
      </c>
    </row>
    <row r="879" spans="1:7" x14ac:dyDescent="0.2">
      <c r="A879" s="40">
        <v>4190</v>
      </c>
      <c r="B879" s="39" t="s">
        <v>1653</v>
      </c>
      <c r="C879" s="40" t="s">
        <v>520</v>
      </c>
      <c r="D879" s="75" t="s">
        <v>1269</v>
      </c>
      <c r="E879" s="75" t="s">
        <v>1266</v>
      </c>
      <c r="F879" s="75" t="s">
        <v>1268</v>
      </c>
      <c r="G879" s="75" t="s">
        <v>1268</v>
      </c>
    </row>
    <row r="880" spans="1:7" x14ac:dyDescent="0.2">
      <c r="A880" s="40">
        <v>4191</v>
      </c>
      <c r="B880" s="39" t="s">
        <v>1654</v>
      </c>
      <c r="C880" s="40" t="s">
        <v>520</v>
      </c>
      <c r="D880" s="75" t="s">
        <v>1269</v>
      </c>
      <c r="E880" s="75" t="s">
        <v>1266</v>
      </c>
      <c r="F880" s="75" t="s">
        <v>1268</v>
      </c>
      <c r="G880" s="75" t="s">
        <v>1267</v>
      </c>
    </row>
    <row r="881" spans="1:7" x14ac:dyDescent="0.2">
      <c r="A881" s="40">
        <v>4192</v>
      </c>
      <c r="B881" s="39" t="s">
        <v>1660</v>
      </c>
      <c r="C881" s="40" t="s">
        <v>520</v>
      </c>
      <c r="D881" s="75" t="s">
        <v>1269</v>
      </c>
      <c r="E881" s="75" t="s">
        <v>1266</v>
      </c>
      <c r="F881" s="75" t="s">
        <v>1268</v>
      </c>
      <c r="G881" s="75" t="s">
        <v>1268</v>
      </c>
    </row>
    <row r="882" spans="1:7" x14ac:dyDescent="0.2">
      <c r="A882" s="40">
        <v>4193</v>
      </c>
      <c r="B882" s="39" t="s">
        <v>1661</v>
      </c>
      <c r="C882" s="40" t="s">
        <v>520</v>
      </c>
      <c r="D882" s="75" t="s">
        <v>1269</v>
      </c>
      <c r="E882" s="75" t="s">
        <v>1266</v>
      </c>
      <c r="F882" s="75" t="s">
        <v>1268</v>
      </c>
      <c r="G882" s="75" t="s">
        <v>1268</v>
      </c>
    </row>
    <row r="883" spans="1:7" x14ac:dyDescent="0.2">
      <c r="A883" s="40">
        <v>4201</v>
      </c>
      <c r="B883" s="39" t="s">
        <v>1662</v>
      </c>
      <c r="C883" s="40" t="s">
        <v>520</v>
      </c>
      <c r="D883" s="75" t="s">
        <v>1269</v>
      </c>
      <c r="E883" s="75" t="s">
        <v>1266</v>
      </c>
      <c r="F883" s="75" t="s">
        <v>1268</v>
      </c>
      <c r="G883" s="75" t="s">
        <v>1268</v>
      </c>
    </row>
    <row r="884" spans="1:7" x14ac:dyDescent="0.2">
      <c r="A884" s="40">
        <v>4202</v>
      </c>
      <c r="B884" s="39" t="s">
        <v>1663</v>
      </c>
      <c r="C884" s="40" t="s">
        <v>520</v>
      </c>
      <c r="D884" s="75" t="s">
        <v>1269</v>
      </c>
      <c r="E884" s="75" t="s">
        <v>1266</v>
      </c>
      <c r="F884" s="75" t="s">
        <v>1268</v>
      </c>
      <c r="G884" s="75" t="s">
        <v>1268</v>
      </c>
    </row>
    <row r="885" spans="1:7" x14ac:dyDescent="0.2">
      <c r="A885" s="40">
        <v>4203</v>
      </c>
      <c r="B885" s="39" t="s">
        <v>1664</v>
      </c>
      <c r="C885" s="40" t="s">
        <v>520</v>
      </c>
      <c r="D885" s="75" t="s">
        <v>1269</v>
      </c>
      <c r="E885" s="75" t="s">
        <v>1266</v>
      </c>
      <c r="F885" s="75" t="s">
        <v>1268</v>
      </c>
      <c r="G885" s="75" t="s">
        <v>1268</v>
      </c>
    </row>
    <row r="886" spans="1:7" x14ac:dyDescent="0.2">
      <c r="A886" s="40">
        <v>4204</v>
      </c>
      <c r="B886" s="39" t="s">
        <v>1665</v>
      </c>
      <c r="C886" s="40" t="s">
        <v>520</v>
      </c>
      <c r="D886" s="75" t="s">
        <v>1269</v>
      </c>
      <c r="E886" s="75" t="s">
        <v>1266</v>
      </c>
      <c r="F886" s="75" t="s">
        <v>1268</v>
      </c>
      <c r="G886" s="75" t="s">
        <v>1267</v>
      </c>
    </row>
    <row r="887" spans="1:7" x14ac:dyDescent="0.2">
      <c r="A887" s="40">
        <v>4209</v>
      </c>
      <c r="B887" s="39" t="s">
        <v>1666</v>
      </c>
      <c r="C887" s="40" t="s">
        <v>520</v>
      </c>
      <c r="D887" s="75" t="s">
        <v>1269</v>
      </c>
      <c r="E887" s="75" t="s">
        <v>1266</v>
      </c>
      <c r="F887" s="75" t="s">
        <v>1268</v>
      </c>
      <c r="G887" s="75" t="s">
        <v>1267</v>
      </c>
    </row>
    <row r="888" spans="1:7" x14ac:dyDescent="0.2">
      <c r="A888" s="40">
        <v>4210</v>
      </c>
      <c r="B888" s="39" t="s">
        <v>1667</v>
      </c>
      <c r="C888" s="40" t="s">
        <v>520</v>
      </c>
      <c r="D888" s="75" t="s">
        <v>1269</v>
      </c>
      <c r="E888" s="75" t="s">
        <v>1266</v>
      </c>
      <c r="F888" s="75" t="s">
        <v>1268</v>
      </c>
      <c r="G888" s="75" t="s">
        <v>1268</v>
      </c>
    </row>
    <row r="889" spans="1:7" x14ac:dyDescent="0.2">
      <c r="A889" s="40">
        <v>4211</v>
      </c>
      <c r="B889" s="39" t="s">
        <v>1668</v>
      </c>
      <c r="C889" s="40" t="s">
        <v>520</v>
      </c>
      <c r="D889" s="75" t="s">
        <v>1269</v>
      </c>
      <c r="E889" s="75" t="s">
        <v>1266</v>
      </c>
      <c r="F889" s="75" t="s">
        <v>1268</v>
      </c>
      <c r="G889" s="75" t="s">
        <v>1268</v>
      </c>
    </row>
    <row r="890" spans="1:7" x14ac:dyDescent="0.2">
      <c r="A890" s="40">
        <v>4212</v>
      </c>
      <c r="B890" s="39" t="s">
        <v>1669</v>
      </c>
      <c r="C890" s="40" t="s">
        <v>520</v>
      </c>
      <c r="D890" s="75" t="s">
        <v>1269</v>
      </c>
      <c r="E890" s="75" t="s">
        <v>1266</v>
      </c>
      <c r="F890" s="75" t="s">
        <v>1268</v>
      </c>
      <c r="G890" s="75" t="s">
        <v>1268</v>
      </c>
    </row>
    <row r="891" spans="1:7" x14ac:dyDescent="0.2">
      <c r="A891" s="40">
        <v>4221</v>
      </c>
      <c r="B891" s="39" t="s">
        <v>1670</v>
      </c>
      <c r="C891" s="40" t="s">
        <v>520</v>
      </c>
      <c r="D891" s="75" t="s">
        <v>1269</v>
      </c>
      <c r="E891" s="75" t="s">
        <v>1266</v>
      </c>
      <c r="F891" s="75" t="s">
        <v>1268</v>
      </c>
      <c r="G891" s="75" t="s">
        <v>1268</v>
      </c>
    </row>
    <row r="892" spans="1:7" x14ac:dyDescent="0.2">
      <c r="A892" s="40">
        <v>4222</v>
      </c>
      <c r="B892" s="39" t="s">
        <v>1671</v>
      </c>
      <c r="C892" s="40" t="s">
        <v>520</v>
      </c>
      <c r="D892" s="75" t="s">
        <v>1269</v>
      </c>
      <c r="E892" s="75" t="s">
        <v>1266</v>
      </c>
      <c r="F892" s="75" t="s">
        <v>1268</v>
      </c>
      <c r="G892" s="75" t="s">
        <v>1268</v>
      </c>
    </row>
    <row r="893" spans="1:7" x14ac:dyDescent="0.2">
      <c r="A893" s="40">
        <v>4223</v>
      </c>
      <c r="B893" s="39" t="s">
        <v>1672</v>
      </c>
      <c r="C893" s="40" t="s">
        <v>520</v>
      </c>
      <c r="D893" s="75" t="s">
        <v>1269</v>
      </c>
      <c r="E893" s="75" t="s">
        <v>1266</v>
      </c>
      <c r="F893" s="75" t="s">
        <v>1268</v>
      </c>
      <c r="G893" s="75" t="s">
        <v>1268</v>
      </c>
    </row>
    <row r="894" spans="1:7" x14ac:dyDescent="0.2">
      <c r="A894" s="40">
        <v>4224</v>
      </c>
      <c r="B894" s="39" t="s">
        <v>1673</v>
      </c>
      <c r="C894" s="40" t="s">
        <v>520</v>
      </c>
      <c r="D894" s="75" t="s">
        <v>1269</v>
      </c>
      <c r="E894" s="75" t="s">
        <v>1266</v>
      </c>
      <c r="F894" s="75" t="s">
        <v>1268</v>
      </c>
      <c r="G894" s="75" t="s">
        <v>1268</v>
      </c>
    </row>
    <row r="895" spans="1:7" x14ac:dyDescent="0.2">
      <c r="A895" s="40">
        <v>4230</v>
      </c>
      <c r="B895" s="39" t="s">
        <v>1674</v>
      </c>
      <c r="C895" s="40" t="s">
        <v>520</v>
      </c>
      <c r="D895" s="75" t="s">
        <v>1269</v>
      </c>
      <c r="E895" s="75" t="s">
        <v>1266</v>
      </c>
      <c r="F895" s="75" t="s">
        <v>1268</v>
      </c>
      <c r="G895" s="75" t="s">
        <v>1268</v>
      </c>
    </row>
    <row r="896" spans="1:7" x14ac:dyDescent="0.2">
      <c r="A896" s="40">
        <v>4231</v>
      </c>
      <c r="B896" s="39" t="s">
        <v>1675</v>
      </c>
      <c r="C896" s="40" t="s">
        <v>520</v>
      </c>
      <c r="D896" s="75" t="s">
        <v>1269</v>
      </c>
      <c r="E896" s="75" t="s">
        <v>1266</v>
      </c>
      <c r="F896" s="75" t="s">
        <v>1268</v>
      </c>
      <c r="G896" s="75" t="s">
        <v>1267</v>
      </c>
    </row>
    <row r="897" spans="1:7" x14ac:dyDescent="0.2">
      <c r="A897" s="40">
        <v>4232</v>
      </c>
      <c r="B897" s="39" t="s">
        <v>1676</v>
      </c>
      <c r="C897" s="40" t="s">
        <v>520</v>
      </c>
      <c r="D897" s="75" t="s">
        <v>1269</v>
      </c>
      <c r="E897" s="75" t="s">
        <v>1266</v>
      </c>
      <c r="F897" s="75" t="s">
        <v>1268</v>
      </c>
      <c r="G897" s="75" t="s">
        <v>1268</v>
      </c>
    </row>
    <row r="898" spans="1:7" x14ac:dyDescent="0.2">
      <c r="A898" s="40">
        <v>4240</v>
      </c>
      <c r="B898" s="39" t="s">
        <v>1677</v>
      </c>
      <c r="C898" s="40" t="s">
        <v>520</v>
      </c>
      <c r="D898" s="75" t="s">
        <v>1269</v>
      </c>
      <c r="E898" s="75" t="s">
        <v>1266</v>
      </c>
      <c r="F898" s="75" t="s">
        <v>1268</v>
      </c>
      <c r="G898" s="75" t="s">
        <v>1268</v>
      </c>
    </row>
    <row r="899" spans="1:7" x14ac:dyDescent="0.2">
      <c r="A899" s="40">
        <v>4242</v>
      </c>
      <c r="B899" s="39" t="s">
        <v>1678</v>
      </c>
      <c r="C899" s="40" t="s">
        <v>520</v>
      </c>
      <c r="D899" s="75" t="s">
        <v>1269</v>
      </c>
      <c r="E899" s="75" t="s">
        <v>1266</v>
      </c>
      <c r="F899" s="75" t="s">
        <v>1268</v>
      </c>
      <c r="G899" s="75" t="s">
        <v>1268</v>
      </c>
    </row>
    <row r="900" spans="1:7" x14ac:dyDescent="0.2">
      <c r="A900" s="40">
        <v>4251</v>
      </c>
      <c r="B900" s="39" t="s">
        <v>1679</v>
      </c>
      <c r="C900" s="40" t="s">
        <v>520</v>
      </c>
      <c r="D900" s="75" t="s">
        <v>1269</v>
      </c>
      <c r="E900" s="75" t="s">
        <v>1266</v>
      </c>
      <c r="F900" s="75" t="s">
        <v>1268</v>
      </c>
      <c r="G900" s="75" t="s">
        <v>1268</v>
      </c>
    </row>
    <row r="901" spans="1:7" x14ac:dyDescent="0.2">
      <c r="A901" s="40">
        <v>4252</v>
      </c>
      <c r="B901" s="39" t="s">
        <v>1680</v>
      </c>
      <c r="C901" s="40" t="s">
        <v>520</v>
      </c>
      <c r="D901" s="75" t="s">
        <v>1269</v>
      </c>
      <c r="E901" s="75" t="s">
        <v>1266</v>
      </c>
      <c r="F901" s="75" t="s">
        <v>1268</v>
      </c>
      <c r="G901" s="75" t="s">
        <v>1267</v>
      </c>
    </row>
    <row r="902" spans="1:7" x14ac:dyDescent="0.2">
      <c r="A902" s="40">
        <v>4261</v>
      </c>
      <c r="B902" s="39" t="s">
        <v>1681</v>
      </c>
      <c r="C902" s="40" t="s">
        <v>520</v>
      </c>
      <c r="D902" s="75" t="s">
        <v>1269</v>
      </c>
      <c r="E902" s="75" t="s">
        <v>1266</v>
      </c>
      <c r="F902" s="75" t="s">
        <v>1268</v>
      </c>
      <c r="G902" s="75" t="s">
        <v>1268</v>
      </c>
    </row>
    <row r="903" spans="1:7" x14ac:dyDescent="0.2">
      <c r="A903" s="40">
        <v>4262</v>
      </c>
      <c r="B903" s="39" t="s">
        <v>1682</v>
      </c>
      <c r="C903" s="40" t="s">
        <v>520</v>
      </c>
      <c r="D903" s="75" t="s">
        <v>1269</v>
      </c>
      <c r="E903" s="75" t="s">
        <v>1266</v>
      </c>
      <c r="F903" s="75" t="s">
        <v>1268</v>
      </c>
      <c r="G903" s="75" t="s">
        <v>1267</v>
      </c>
    </row>
    <row r="904" spans="1:7" x14ac:dyDescent="0.2">
      <c r="A904" s="40">
        <v>4263</v>
      </c>
      <c r="B904" s="39" t="s">
        <v>1683</v>
      </c>
      <c r="C904" s="40" t="s">
        <v>520</v>
      </c>
      <c r="D904" s="75" t="s">
        <v>1269</v>
      </c>
      <c r="E904" s="75" t="s">
        <v>1266</v>
      </c>
      <c r="F904" s="75" t="s">
        <v>1268</v>
      </c>
      <c r="G904" s="75" t="s">
        <v>1268</v>
      </c>
    </row>
    <row r="905" spans="1:7" x14ac:dyDescent="0.2">
      <c r="A905" s="40">
        <v>4264</v>
      </c>
      <c r="B905" s="39" t="s">
        <v>1684</v>
      </c>
      <c r="C905" s="40" t="s">
        <v>520</v>
      </c>
      <c r="D905" s="75" t="s">
        <v>1269</v>
      </c>
      <c r="E905" s="75" t="s">
        <v>1266</v>
      </c>
      <c r="F905" s="75" t="s">
        <v>1268</v>
      </c>
      <c r="G905" s="75" t="s">
        <v>1267</v>
      </c>
    </row>
    <row r="906" spans="1:7" x14ac:dyDescent="0.2">
      <c r="A906" s="40">
        <v>4271</v>
      </c>
      <c r="B906" s="39" t="s">
        <v>1685</v>
      </c>
      <c r="C906" s="40" t="s">
        <v>520</v>
      </c>
      <c r="D906" s="75" t="s">
        <v>1269</v>
      </c>
      <c r="E906" s="75" t="s">
        <v>1266</v>
      </c>
      <c r="F906" s="75" t="s">
        <v>1268</v>
      </c>
      <c r="G906" s="75" t="s">
        <v>1267</v>
      </c>
    </row>
    <row r="907" spans="1:7" x14ac:dyDescent="0.2">
      <c r="A907" s="40">
        <v>4272</v>
      </c>
      <c r="B907" s="39" t="s">
        <v>1686</v>
      </c>
      <c r="C907" s="40" t="s">
        <v>520</v>
      </c>
      <c r="D907" s="75" t="s">
        <v>1269</v>
      </c>
      <c r="E907" s="75" t="s">
        <v>1266</v>
      </c>
      <c r="F907" s="75" t="s">
        <v>1268</v>
      </c>
      <c r="G907" s="75" t="s">
        <v>1267</v>
      </c>
    </row>
    <row r="908" spans="1:7" x14ac:dyDescent="0.2">
      <c r="A908" s="40">
        <v>4273</v>
      </c>
      <c r="B908" s="39" t="s">
        <v>1687</v>
      </c>
      <c r="C908" s="40" t="s">
        <v>520</v>
      </c>
      <c r="D908" s="75" t="s">
        <v>1269</v>
      </c>
      <c r="E908" s="75" t="s">
        <v>1266</v>
      </c>
      <c r="F908" s="75" t="s">
        <v>1268</v>
      </c>
      <c r="G908" s="75" t="s">
        <v>1268</v>
      </c>
    </row>
    <row r="909" spans="1:7" x14ac:dyDescent="0.2">
      <c r="A909" s="40">
        <v>4274</v>
      </c>
      <c r="B909" s="39" t="s">
        <v>1688</v>
      </c>
      <c r="C909" s="40" t="s">
        <v>520</v>
      </c>
      <c r="D909" s="75" t="s">
        <v>1269</v>
      </c>
      <c r="E909" s="75" t="s">
        <v>1266</v>
      </c>
      <c r="F909" s="75" t="s">
        <v>1268</v>
      </c>
      <c r="G909" s="75" t="s">
        <v>1267</v>
      </c>
    </row>
    <row r="910" spans="1:7" x14ac:dyDescent="0.2">
      <c r="A910" s="40">
        <v>4280</v>
      </c>
      <c r="B910" s="39" t="s">
        <v>1689</v>
      </c>
      <c r="C910" s="40" t="s">
        <v>520</v>
      </c>
      <c r="D910" s="75" t="s">
        <v>1269</v>
      </c>
      <c r="E910" s="75" t="s">
        <v>1266</v>
      </c>
      <c r="F910" s="75" t="s">
        <v>1268</v>
      </c>
      <c r="G910" s="75" t="s">
        <v>1268</v>
      </c>
    </row>
    <row r="911" spans="1:7" x14ac:dyDescent="0.2">
      <c r="A911" s="40">
        <v>4281</v>
      </c>
      <c r="B911" s="39" t="s">
        <v>1690</v>
      </c>
      <c r="C911" s="40" t="s">
        <v>520</v>
      </c>
      <c r="D911" s="75" t="s">
        <v>1269</v>
      </c>
      <c r="E911" s="75" t="s">
        <v>1266</v>
      </c>
      <c r="F911" s="75" t="s">
        <v>1268</v>
      </c>
      <c r="G911" s="75" t="s">
        <v>1267</v>
      </c>
    </row>
    <row r="912" spans="1:7" x14ac:dyDescent="0.2">
      <c r="A912" s="40">
        <v>4282</v>
      </c>
      <c r="B912" s="39" t="s">
        <v>1691</v>
      </c>
      <c r="C912" s="40" t="s">
        <v>520</v>
      </c>
      <c r="D912" s="75" t="s">
        <v>1269</v>
      </c>
      <c r="E912" s="75" t="s">
        <v>1266</v>
      </c>
      <c r="F912" s="75" t="s">
        <v>1268</v>
      </c>
      <c r="G912" s="75" t="s">
        <v>1267</v>
      </c>
    </row>
    <row r="913" spans="1:7" x14ac:dyDescent="0.2">
      <c r="A913" s="40">
        <v>4283</v>
      </c>
      <c r="B913" s="39" t="s">
        <v>1692</v>
      </c>
      <c r="C913" s="40" t="s">
        <v>520</v>
      </c>
      <c r="D913" s="75" t="s">
        <v>1269</v>
      </c>
      <c r="E913" s="75" t="s">
        <v>1266</v>
      </c>
      <c r="F913" s="75" t="s">
        <v>1268</v>
      </c>
      <c r="G913" s="75" t="s">
        <v>1268</v>
      </c>
    </row>
    <row r="914" spans="1:7" x14ac:dyDescent="0.2">
      <c r="A914" s="40">
        <v>4284</v>
      </c>
      <c r="B914" s="39" t="s">
        <v>1693</v>
      </c>
      <c r="C914" s="40" t="s">
        <v>520</v>
      </c>
      <c r="D914" s="75" t="s">
        <v>1269</v>
      </c>
      <c r="E914" s="75" t="s">
        <v>1266</v>
      </c>
      <c r="F914" s="75" t="s">
        <v>1268</v>
      </c>
      <c r="G914" s="75" t="s">
        <v>1267</v>
      </c>
    </row>
    <row r="915" spans="1:7" x14ac:dyDescent="0.2">
      <c r="A915" s="40">
        <v>4291</v>
      </c>
      <c r="B915" s="39" t="s">
        <v>1694</v>
      </c>
      <c r="C915" s="40" t="s">
        <v>520</v>
      </c>
      <c r="D915" s="75" t="s">
        <v>1269</v>
      </c>
      <c r="E915" s="75" t="s">
        <v>1266</v>
      </c>
      <c r="F915" s="75" t="s">
        <v>1268</v>
      </c>
      <c r="G915" s="75" t="s">
        <v>1268</v>
      </c>
    </row>
    <row r="916" spans="1:7" x14ac:dyDescent="0.2">
      <c r="A916" s="40">
        <v>4292</v>
      </c>
      <c r="B916" s="39" t="s">
        <v>1695</v>
      </c>
      <c r="C916" s="40" t="s">
        <v>520</v>
      </c>
      <c r="D916" s="75" t="s">
        <v>1269</v>
      </c>
      <c r="E916" s="75" t="s">
        <v>1266</v>
      </c>
      <c r="F916" s="75" t="s">
        <v>1268</v>
      </c>
      <c r="G916" s="75" t="s">
        <v>1267</v>
      </c>
    </row>
    <row r="917" spans="1:7" x14ac:dyDescent="0.2">
      <c r="A917" s="40">
        <v>4293</v>
      </c>
      <c r="B917" s="39" t="s">
        <v>1696</v>
      </c>
      <c r="C917" s="40" t="s">
        <v>520</v>
      </c>
      <c r="D917" s="75" t="s">
        <v>1269</v>
      </c>
      <c r="E917" s="75" t="s">
        <v>1266</v>
      </c>
      <c r="F917" s="75" t="s">
        <v>1268</v>
      </c>
      <c r="G917" s="75" t="s">
        <v>1268</v>
      </c>
    </row>
    <row r="918" spans="1:7" x14ac:dyDescent="0.2">
      <c r="A918" s="40">
        <v>4294</v>
      </c>
      <c r="B918" s="39" t="s">
        <v>1697</v>
      </c>
      <c r="C918" s="40" t="s">
        <v>520</v>
      </c>
      <c r="D918" s="75" t="s">
        <v>1269</v>
      </c>
      <c r="E918" s="75" t="s">
        <v>1266</v>
      </c>
      <c r="F918" s="75" t="s">
        <v>1268</v>
      </c>
      <c r="G918" s="75" t="s">
        <v>1267</v>
      </c>
    </row>
    <row r="919" spans="1:7" x14ac:dyDescent="0.2">
      <c r="A919" s="40">
        <v>4300</v>
      </c>
      <c r="B919" s="39" t="s">
        <v>1698</v>
      </c>
      <c r="C919" s="40" t="s">
        <v>1281</v>
      </c>
      <c r="D919" s="75" t="s">
        <v>1269</v>
      </c>
      <c r="E919" s="75" t="s">
        <v>1266</v>
      </c>
      <c r="F919" s="75" t="s">
        <v>1268</v>
      </c>
      <c r="G919" s="75" t="s">
        <v>1268</v>
      </c>
    </row>
    <row r="920" spans="1:7" x14ac:dyDescent="0.2">
      <c r="A920" s="40">
        <v>4303</v>
      </c>
      <c r="B920" s="39" t="s">
        <v>1699</v>
      </c>
      <c r="C920" s="40" t="s">
        <v>1281</v>
      </c>
      <c r="D920" s="75" t="s">
        <v>1269</v>
      </c>
      <c r="E920" s="75" t="s">
        <v>1266</v>
      </c>
      <c r="F920" s="75" t="s">
        <v>1268</v>
      </c>
      <c r="G920" s="75" t="s">
        <v>1267</v>
      </c>
    </row>
    <row r="921" spans="1:7" x14ac:dyDescent="0.2">
      <c r="A921" s="40">
        <v>4310</v>
      </c>
      <c r="B921" s="39" t="s">
        <v>1700</v>
      </c>
      <c r="C921" s="40" t="s">
        <v>520</v>
      </c>
      <c r="D921" s="75" t="s">
        <v>1269</v>
      </c>
      <c r="E921" s="75" t="s">
        <v>1266</v>
      </c>
      <c r="F921" s="75" t="s">
        <v>1268</v>
      </c>
      <c r="G921" s="75" t="s">
        <v>1268</v>
      </c>
    </row>
    <row r="922" spans="1:7" x14ac:dyDescent="0.2">
      <c r="A922" s="40">
        <v>4311</v>
      </c>
      <c r="B922" s="39" t="s">
        <v>1701</v>
      </c>
      <c r="C922" s="40" t="s">
        <v>520</v>
      </c>
      <c r="D922" s="75" t="s">
        <v>1269</v>
      </c>
      <c r="E922" s="75" t="s">
        <v>1266</v>
      </c>
      <c r="F922" s="75" t="s">
        <v>1268</v>
      </c>
      <c r="G922" s="75" t="s">
        <v>1268</v>
      </c>
    </row>
    <row r="923" spans="1:7" x14ac:dyDescent="0.2">
      <c r="A923" s="40">
        <v>4312</v>
      </c>
      <c r="B923" s="39" t="s">
        <v>1702</v>
      </c>
      <c r="C923" s="40" t="s">
        <v>520</v>
      </c>
      <c r="D923" s="75" t="s">
        <v>1269</v>
      </c>
      <c r="E923" s="75" t="s">
        <v>1266</v>
      </c>
      <c r="F923" s="75" t="s">
        <v>1268</v>
      </c>
      <c r="G923" s="75" t="s">
        <v>1268</v>
      </c>
    </row>
    <row r="924" spans="1:7" x14ac:dyDescent="0.2">
      <c r="A924" s="40">
        <v>4320</v>
      </c>
      <c r="B924" s="39" t="s">
        <v>1703</v>
      </c>
      <c r="C924" s="40" t="s">
        <v>520</v>
      </c>
      <c r="D924" s="75" t="s">
        <v>1269</v>
      </c>
      <c r="E924" s="75" t="s">
        <v>1266</v>
      </c>
      <c r="F924" s="75" t="s">
        <v>1268</v>
      </c>
      <c r="G924" s="75" t="s">
        <v>1268</v>
      </c>
    </row>
    <row r="925" spans="1:7" x14ac:dyDescent="0.2">
      <c r="A925" s="40">
        <v>4322</v>
      </c>
      <c r="B925" s="39" t="s">
        <v>1704</v>
      </c>
      <c r="C925" s="40" t="s">
        <v>520</v>
      </c>
      <c r="D925" s="75" t="s">
        <v>1269</v>
      </c>
      <c r="E925" s="75" t="s">
        <v>1266</v>
      </c>
      <c r="F925" s="75" t="s">
        <v>1268</v>
      </c>
      <c r="G925" s="75" t="s">
        <v>1267</v>
      </c>
    </row>
    <row r="926" spans="1:7" x14ac:dyDescent="0.2">
      <c r="A926" s="40">
        <v>4323</v>
      </c>
      <c r="B926" s="39" t="s">
        <v>1705</v>
      </c>
      <c r="C926" s="40" t="s">
        <v>520</v>
      </c>
      <c r="D926" s="75" t="s">
        <v>1269</v>
      </c>
      <c r="E926" s="75" t="s">
        <v>1266</v>
      </c>
      <c r="F926" s="75" t="s">
        <v>1268</v>
      </c>
      <c r="G926" s="75" t="s">
        <v>1267</v>
      </c>
    </row>
    <row r="927" spans="1:7" x14ac:dyDescent="0.2">
      <c r="A927" s="40">
        <v>4324</v>
      </c>
      <c r="B927" s="39" t="s">
        <v>1706</v>
      </c>
      <c r="C927" s="40" t="s">
        <v>520</v>
      </c>
      <c r="D927" s="75" t="s">
        <v>1269</v>
      </c>
      <c r="E927" s="75" t="s">
        <v>1266</v>
      </c>
      <c r="F927" s="75" t="s">
        <v>1268</v>
      </c>
      <c r="G927" s="75" t="s">
        <v>1267</v>
      </c>
    </row>
    <row r="928" spans="1:7" x14ac:dyDescent="0.2">
      <c r="A928" s="40">
        <v>4331</v>
      </c>
      <c r="B928" s="39" t="s">
        <v>1707</v>
      </c>
      <c r="C928" s="40" t="s">
        <v>520</v>
      </c>
      <c r="D928" s="75" t="s">
        <v>1269</v>
      </c>
      <c r="E928" s="75" t="s">
        <v>1266</v>
      </c>
      <c r="F928" s="75" t="s">
        <v>1268</v>
      </c>
      <c r="G928" s="75" t="s">
        <v>1268</v>
      </c>
    </row>
    <row r="929" spans="1:7" x14ac:dyDescent="0.2">
      <c r="A929" s="40">
        <v>4332</v>
      </c>
      <c r="B929" s="39" t="s">
        <v>1710</v>
      </c>
      <c r="C929" s="40" t="s">
        <v>520</v>
      </c>
      <c r="D929" s="75" t="s">
        <v>1269</v>
      </c>
      <c r="E929" s="75" t="s">
        <v>1266</v>
      </c>
      <c r="F929" s="75" t="s">
        <v>1268</v>
      </c>
      <c r="G929" s="75" t="s">
        <v>1267</v>
      </c>
    </row>
    <row r="930" spans="1:7" x14ac:dyDescent="0.2">
      <c r="A930" s="40">
        <v>4341</v>
      </c>
      <c r="B930" s="39" t="s">
        <v>1711</v>
      </c>
      <c r="C930" s="40" t="s">
        <v>520</v>
      </c>
      <c r="D930" s="75" t="s">
        <v>1269</v>
      </c>
      <c r="E930" s="75" t="s">
        <v>1266</v>
      </c>
      <c r="F930" s="75" t="s">
        <v>1268</v>
      </c>
      <c r="G930" s="75" t="s">
        <v>1267</v>
      </c>
    </row>
    <row r="931" spans="1:7" x14ac:dyDescent="0.2">
      <c r="A931" s="40">
        <v>4342</v>
      </c>
      <c r="B931" s="39" t="s">
        <v>1712</v>
      </c>
      <c r="C931" s="40" t="s">
        <v>520</v>
      </c>
      <c r="D931" s="75" t="s">
        <v>1269</v>
      </c>
      <c r="E931" s="75" t="s">
        <v>1266</v>
      </c>
      <c r="F931" s="75" t="s">
        <v>1268</v>
      </c>
      <c r="G931" s="75" t="s">
        <v>1267</v>
      </c>
    </row>
    <row r="932" spans="1:7" x14ac:dyDescent="0.2">
      <c r="A932" s="40">
        <v>4343</v>
      </c>
      <c r="B932" s="39" t="s">
        <v>1713</v>
      </c>
      <c r="C932" s="40" t="s">
        <v>520</v>
      </c>
      <c r="D932" s="75" t="s">
        <v>1269</v>
      </c>
      <c r="E932" s="75" t="s">
        <v>1266</v>
      </c>
      <c r="F932" s="75" t="s">
        <v>1268</v>
      </c>
      <c r="G932" s="75" t="s">
        <v>1268</v>
      </c>
    </row>
    <row r="933" spans="1:7" x14ac:dyDescent="0.2">
      <c r="A933" s="40">
        <v>4351</v>
      </c>
      <c r="B933" s="39" t="s">
        <v>1714</v>
      </c>
      <c r="C933" s="40" t="s">
        <v>520</v>
      </c>
      <c r="D933" s="75" t="s">
        <v>1269</v>
      </c>
      <c r="E933" s="75" t="s">
        <v>1266</v>
      </c>
      <c r="F933" s="75" t="s">
        <v>1268</v>
      </c>
      <c r="G933" s="75" t="s">
        <v>1267</v>
      </c>
    </row>
    <row r="934" spans="1:7" x14ac:dyDescent="0.2">
      <c r="A934" s="40">
        <v>4352</v>
      </c>
      <c r="B934" s="39" t="s">
        <v>1715</v>
      </c>
      <c r="C934" s="40" t="s">
        <v>520</v>
      </c>
      <c r="D934" s="75" t="s">
        <v>1269</v>
      </c>
      <c r="E934" s="75" t="s">
        <v>1266</v>
      </c>
      <c r="F934" s="75" t="s">
        <v>1268</v>
      </c>
      <c r="G934" s="75" t="s">
        <v>1267</v>
      </c>
    </row>
    <row r="935" spans="1:7" x14ac:dyDescent="0.2">
      <c r="A935" s="40">
        <v>4360</v>
      </c>
      <c r="B935" s="39" t="s">
        <v>1716</v>
      </c>
      <c r="C935" s="40" t="s">
        <v>520</v>
      </c>
      <c r="D935" s="75" t="s">
        <v>1269</v>
      </c>
      <c r="E935" s="75" t="s">
        <v>1266</v>
      </c>
      <c r="F935" s="75" t="s">
        <v>1268</v>
      </c>
      <c r="G935" s="75" t="s">
        <v>1268</v>
      </c>
    </row>
    <row r="936" spans="1:7" x14ac:dyDescent="0.2">
      <c r="A936" s="40">
        <v>4362</v>
      </c>
      <c r="B936" s="39" t="s">
        <v>1717</v>
      </c>
      <c r="C936" s="40" t="s">
        <v>520</v>
      </c>
      <c r="D936" s="75" t="s">
        <v>1269</v>
      </c>
      <c r="E936" s="75" t="s">
        <v>1266</v>
      </c>
      <c r="F936" s="75" t="s">
        <v>1268</v>
      </c>
      <c r="G936" s="75" t="s">
        <v>1268</v>
      </c>
    </row>
    <row r="937" spans="1:7" x14ac:dyDescent="0.2">
      <c r="A937" s="40">
        <v>4363</v>
      </c>
      <c r="B937" s="39" t="s">
        <v>1718</v>
      </c>
      <c r="C937" s="40" t="s">
        <v>520</v>
      </c>
      <c r="D937" s="75" t="s">
        <v>1269</v>
      </c>
      <c r="E937" s="75" t="s">
        <v>1266</v>
      </c>
      <c r="F937" s="75" t="s">
        <v>1268</v>
      </c>
      <c r="G937" s="75" t="s">
        <v>1268</v>
      </c>
    </row>
    <row r="938" spans="1:7" x14ac:dyDescent="0.2">
      <c r="A938" s="40">
        <v>4364</v>
      </c>
      <c r="B938" s="39" t="s">
        <v>1719</v>
      </c>
      <c r="C938" s="40" t="s">
        <v>520</v>
      </c>
      <c r="D938" s="75" t="s">
        <v>1269</v>
      </c>
      <c r="E938" s="75" t="s">
        <v>1266</v>
      </c>
      <c r="F938" s="75" t="s">
        <v>1268</v>
      </c>
      <c r="G938" s="75" t="s">
        <v>1267</v>
      </c>
    </row>
    <row r="939" spans="1:7" x14ac:dyDescent="0.2">
      <c r="A939" s="40">
        <v>4371</v>
      </c>
      <c r="B939" s="39" t="s">
        <v>1720</v>
      </c>
      <c r="C939" s="40" t="s">
        <v>520</v>
      </c>
      <c r="D939" s="75" t="s">
        <v>1269</v>
      </c>
      <c r="E939" s="75" t="s">
        <v>1266</v>
      </c>
      <c r="F939" s="75" t="s">
        <v>1268</v>
      </c>
      <c r="G939" s="75" t="s">
        <v>1267</v>
      </c>
    </row>
    <row r="940" spans="1:7" x14ac:dyDescent="0.2">
      <c r="A940" s="40">
        <v>4372</v>
      </c>
      <c r="B940" s="39" t="s">
        <v>1721</v>
      </c>
      <c r="C940" s="40" t="s">
        <v>520</v>
      </c>
      <c r="D940" s="75" t="s">
        <v>1269</v>
      </c>
      <c r="E940" s="75" t="s">
        <v>1266</v>
      </c>
      <c r="F940" s="75" t="s">
        <v>1268</v>
      </c>
      <c r="G940" s="75" t="s">
        <v>1268</v>
      </c>
    </row>
    <row r="941" spans="1:7" x14ac:dyDescent="0.2">
      <c r="A941" s="40">
        <v>4381</v>
      </c>
      <c r="B941" s="39" t="s">
        <v>1722</v>
      </c>
      <c r="C941" s="40" t="s">
        <v>520</v>
      </c>
      <c r="D941" s="75" t="s">
        <v>1269</v>
      </c>
      <c r="E941" s="75" t="s">
        <v>1266</v>
      </c>
      <c r="F941" s="75" t="s">
        <v>1268</v>
      </c>
      <c r="G941" s="75" t="s">
        <v>1267</v>
      </c>
    </row>
    <row r="942" spans="1:7" x14ac:dyDescent="0.2">
      <c r="A942" s="40">
        <v>4382</v>
      </c>
      <c r="B942" s="39" t="s">
        <v>1723</v>
      </c>
      <c r="C942" s="40" t="s">
        <v>520</v>
      </c>
      <c r="D942" s="75" t="s">
        <v>1269</v>
      </c>
      <c r="E942" s="75" t="s">
        <v>1266</v>
      </c>
      <c r="F942" s="75" t="s">
        <v>1268</v>
      </c>
      <c r="G942" s="75" t="s">
        <v>1267</v>
      </c>
    </row>
    <row r="943" spans="1:7" x14ac:dyDescent="0.2">
      <c r="A943" s="40">
        <v>4391</v>
      </c>
      <c r="B943" s="39" t="s">
        <v>1724</v>
      </c>
      <c r="C943" s="40" t="s">
        <v>520</v>
      </c>
      <c r="D943" s="75" t="s">
        <v>1269</v>
      </c>
      <c r="E943" s="75" t="s">
        <v>1266</v>
      </c>
      <c r="F943" s="75" t="s">
        <v>1268</v>
      </c>
      <c r="G943" s="75" t="s">
        <v>1268</v>
      </c>
    </row>
    <row r="944" spans="1:7" x14ac:dyDescent="0.2">
      <c r="A944" s="40">
        <v>4392</v>
      </c>
      <c r="B944" s="39" t="s">
        <v>1725</v>
      </c>
      <c r="C944" s="40" t="s">
        <v>1281</v>
      </c>
      <c r="D944" s="75" t="s">
        <v>1269</v>
      </c>
      <c r="E944" s="75" t="s">
        <v>1266</v>
      </c>
      <c r="F944" s="75" t="s">
        <v>1268</v>
      </c>
      <c r="G944" s="75" t="s">
        <v>1267</v>
      </c>
    </row>
    <row r="945" spans="1:7" x14ac:dyDescent="0.2">
      <c r="A945" s="40">
        <v>4400</v>
      </c>
      <c r="B945" s="39" t="s">
        <v>1726</v>
      </c>
      <c r="C945" s="40" t="s">
        <v>520</v>
      </c>
      <c r="D945" s="75" t="s">
        <v>1269</v>
      </c>
      <c r="E945" s="75" t="s">
        <v>1266</v>
      </c>
      <c r="F945" s="75" t="s">
        <v>1268</v>
      </c>
      <c r="G945" s="75" t="s">
        <v>1268</v>
      </c>
    </row>
    <row r="946" spans="1:7" x14ac:dyDescent="0.2">
      <c r="A946" s="40">
        <v>4401</v>
      </c>
      <c r="B946" s="39" t="s">
        <v>1727</v>
      </c>
      <c r="C946" s="40" t="s">
        <v>520</v>
      </c>
      <c r="D946" s="75" t="s">
        <v>1271</v>
      </c>
      <c r="E946" s="75" t="s">
        <v>1266</v>
      </c>
      <c r="F946" s="75" t="s">
        <v>1267</v>
      </c>
      <c r="G946" s="75" t="s">
        <v>1268</v>
      </c>
    </row>
    <row r="947" spans="1:7" x14ac:dyDescent="0.2">
      <c r="A947" s="40">
        <v>4402</v>
      </c>
      <c r="B947" s="39" t="s">
        <v>1726</v>
      </c>
      <c r="C947" s="40" t="s">
        <v>520</v>
      </c>
      <c r="D947" s="75" t="s">
        <v>1271</v>
      </c>
      <c r="E947" s="75" t="s">
        <v>1266</v>
      </c>
      <c r="F947" s="75" t="s">
        <v>1267</v>
      </c>
      <c r="G947" s="75" t="s">
        <v>1268</v>
      </c>
    </row>
    <row r="948" spans="1:7" x14ac:dyDescent="0.2">
      <c r="A948" s="40">
        <v>4403</v>
      </c>
      <c r="B948" s="39" t="s">
        <v>1726</v>
      </c>
      <c r="C948" s="40" t="s">
        <v>520</v>
      </c>
      <c r="D948" s="75" t="s">
        <v>1271</v>
      </c>
      <c r="E948" s="75" t="s">
        <v>1266</v>
      </c>
      <c r="F948" s="75" t="s">
        <v>1267</v>
      </c>
      <c r="G948" s="75" t="s">
        <v>1268</v>
      </c>
    </row>
    <row r="949" spans="1:7" x14ac:dyDescent="0.2">
      <c r="A949" s="40">
        <v>4405</v>
      </c>
      <c r="B949" s="39" t="s">
        <v>1728</v>
      </c>
      <c r="C949" s="40" t="s">
        <v>520</v>
      </c>
      <c r="D949" s="75" t="s">
        <v>1271</v>
      </c>
      <c r="E949" s="75" t="s">
        <v>1266</v>
      </c>
      <c r="F949" s="75" t="s">
        <v>1267</v>
      </c>
      <c r="G949" s="75" t="s">
        <v>1268</v>
      </c>
    </row>
    <row r="950" spans="1:7" x14ac:dyDescent="0.2">
      <c r="A950" s="40">
        <v>4406</v>
      </c>
      <c r="B950" s="39" t="s">
        <v>1726</v>
      </c>
      <c r="C950" s="40" t="s">
        <v>520</v>
      </c>
      <c r="D950" s="75" t="s">
        <v>1271</v>
      </c>
      <c r="E950" s="75" t="s">
        <v>1266</v>
      </c>
      <c r="F950" s="75" t="s">
        <v>1267</v>
      </c>
      <c r="G950" s="75" t="s">
        <v>1268</v>
      </c>
    </row>
    <row r="951" spans="1:7" x14ac:dyDescent="0.2">
      <c r="A951" s="40">
        <v>4407</v>
      </c>
      <c r="B951" s="39" t="s">
        <v>1729</v>
      </c>
      <c r="C951" s="40" t="s">
        <v>520</v>
      </c>
      <c r="D951" s="75" t="s">
        <v>1269</v>
      </c>
      <c r="E951" s="75" t="s">
        <v>1266</v>
      </c>
      <c r="F951" s="75" t="s">
        <v>1268</v>
      </c>
      <c r="G951" s="75" t="s">
        <v>1268</v>
      </c>
    </row>
    <row r="952" spans="1:7" x14ac:dyDescent="0.2">
      <c r="A952" s="40">
        <v>4411</v>
      </c>
      <c r="B952" s="39" t="s">
        <v>1730</v>
      </c>
      <c r="C952" s="40" t="s">
        <v>520</v>
      </c>
      <c r="D952" s="75" t="s">
        <v>1271</v>
      </c>
      <c r="E952" s="75" t="s">
        <v>1266</v>
      </c>
      <c r="F952" s="75" t="s">
        <v>1267</v>
      </c>
      <c r="G952" s="75" t="s">
        <v>1268</v>
      </c>
    </row>
    <row r="953" spans="1:7" x14ac:dyDescent="0.2">
      <c r="A953" s="40">
        <v>4421</v>
      </c>
      <c r="B953" s="39" t="s">
        <v>1731</v>
      </c>
      <c r="C953" s="40" t="s">
        <v>520</v>
      </c>
      <c r="D953" s="75" t="s">
        <v>1269</v>
      </c>
      <c r="E953" s="75" t="s">
        <v>1266</v>
      </c>
      <c r="F953" s="75" t="s">
        <v>1268</v>
      </c>
      <c r="G953" s="75" t="s">
        <v>1267</v>
      </c>
    </row>
    <row r="954" spans="1:7" x14ac:dyDescent="0.2">
      <c r="A954" s="40">
        <v>4431</v>
      </c>
      <c r="B954" s="39" t="s">
        <v>1732</v>
      </c>
      <c r="C954" s="40" t="s">
        <v>1281</v>
      </c>
      <c r="D954" s="75" t="s">
        <v>1269</v>
      </c>
      <c r="E954" s="75" t="s">
        <v>1266</v>
      </c>
      <c r="F954" s="75" t="s">
        <v>1268</v>
      </c>
      <c r="G954" s="75" t="s">
        <v>1268</v>
      </c>
    </row>
    <row r="955" spans="1:7" x14ac:dyDescent="0.2">
      <c r="A955" s="40">
        <v>4432</v>
      </c>
      <c r="B955" s="39" t="s">
        <v>1733</v>
      </c>
      <c r="C955" s="40" t="s">
        <v>1281</v>
      </c>
      <c r="D955" s="75" t="s">
        <v>1269</v>
      </c>
      <c r="E955" s="75" t="s">
        <v>1266</v>
      </c>
      <c r="F955" s="75" t="s">
        <v>1268</v>
      </c>
      <c r="G955" s="75" t="s">
        <v>1267</v>
      </c>
    </row>
    <row r="956" spans="1:7" x14ac:dyDescent="0.2">
      <c r="A956" s="40">
        <v>4441</v>
      </c>
      <c r="B956" s="39" t="s">
        <v>1734</v>
      </c>
      <c r="C956" s="40" t="s">
        <v>1281</v>
      </c>
      <c r="D956" s="75" t="s">
        <v>1269</v>
      </c>
      <c r="E956" s="75" t="s">
        <v>1266</v>
      </c>
      <c r="F956" s="75" t="s">
        <v>1268</v>
      </c>
      <c r="G956" s="75" t="s">
        <v>1267</v>
      </c>
    </row>
    <row r="957" spans="1:7" x14ac:dyDescent="0.2">
      <c r="A957" s="40">
        <v>4442</v>
      </c>
      <c r="B957" s="39" t="s">
        <v>1735</v>
      </c>
      <c r="C957" s="40" t="s">
        <v>520</v>
      </c>
      <c r="D957" s="75" t="s">
        <v>1269</v>
      </c>
      <c r="E957" s="75" t="s">
        <v>1266</v>
      </c>
      <c r="F957" s="75" t="s">
        <v>1268</v>
      </c>
      <c r="G957" s="75" t="s">
        <v>1267</v>
      </c>
    </row>
    <row r="958" spans="1:7" x14ac:dyDescent="0.2">
      <c r="A958" s="40">
        <v>4443</v>
      </c>
      <c r="B958" s="39" t="s">
        <v>1736</v>
      </c>
      <c r="C958" s="40" t="s">
        <v>520</v>
      </c>
      <c r="D958" s="75" t="s">
        <v>1269</v>
      </c>
      <c r="E958" s="75" t="s">
        <v>1266</v>
      </c>
      <c r="F958" s="75" t="s">
        <v>1268</v>
      </c>
      <c r="G958" s="75" t="s">
        <v>1268</v>
      </c>
    </row>
    <row r="959" spans="1:7" x14ac:dyDescent="0.2">
      <c r="A959" s="40">
        <v>4451</v>
      </c>
      <c r="B959" s="39" t="s">
        <v>1737</v>
      </c>
      <c r="C959" s="40" t="s">
        <v>520</v>
      </c>
      <c r="D959" s="75" t="s">
        <v>1269</v>
      </c>
      <c r="E959" s="75" t="s">
        <v>1266</v>
      </c>
      <c r="F959" s="75" t="s">
        <v>1268</v>
      </c>
      <c r="G959" s="75" t="s">
        <v>1268</v>
      </c>
    </row>
    <row r="960" spans="1:7" x14ac:dyDescent="0.2">
      <c r="A960" s="40">
        <v>4452</v>
      </c>
      <c r="B960" s="39" t="s">
        <v>1738</v>
      </c>
      <c r="C960" s="40" t="s">
        <v>520</v>
      </c>
      <c r="D960" s="75" t="s">
        <v>1269</v>
      </c>
      <c r="E960" s="75" t="s">
        <v>1266</v>
      </c>
      <c r="F960" s="75" t="s">
        <v>1268</v>
      </c>
      <c r="G960" s="75" t="s">
        <v>1268</v>
      </c>
    </row>
    <row r="961" spans="1:7" x14ac:dyDescent="0.2">
      <c r="A961" s="40">
        <v>4453</v>
      </c>
      <c r="B961" s="39" t="s">
        <v>1935</v>
      </c>
      <c r="C961" s="40" t="s">
        <v>520</v>
      </c>
      <c r="D961" s="75" t="s">
        <v>1269</v>
      </c>
      <c r="E961" s="75" t="s">
        <v>1266</v>
      </c>
      <c r="F961" s="75" t="s">
        <v>1268</v>
      </c>
      <c r="G961" s="75" t="s">
        <v>1267</v>
      </c>
    </row>
    <row r="962" spans="1:7" x14ac:dyDescent="0.2">
      <c r="A962" s="40">
        <v>4460</v>
      </c>
      <c r="B962" s="39" t="s">
        <v>1739</v>
      </c>
      <c r="C962" s="40" t="s">
        <v>520</v>
      </c>
      <c r="D962" s="75" t="s">
        <v>1269</v>
      </c>
      <c r="E962" s="75" t="s">
        <v>1266</v>
      </c>
      <c r="F962" s="75" t="s">
        <v>1268</v>
      </c>
      <c r="G962" s="75" t="s">
        <v>1267</v>
      </c>
    </row>
    <row r="963" spans="1:7" x14ac:dyDescent="0.2">
      <c r="A963" s="40">
        <v>4461</v>
      </c>
      <c r="B963" s="39" t="s">
        <v>1740</v>
      </c>
      <c r="C963" s="40" t="s">
        <v>520</v>
      </c>
      <c r="D963" s="75" t="s">
        <v>1269</v>
      </c>
      <c r="E963" s="75" t="s">
        <v>1266</v>
      </c>
      <c r="F963" s="75" t="s">
        <v>1268</v>
      </c>
      <c r="G963" s="75" t="s">
        <v>1267</v>
      </c>
    </row>
    <row r="964" spans="1:7" x14ac:dyDescent="0.2">
      <c r="A964" s="40">
        <v>4462</v>
      </c>
      <c r="B964" s="39" t="s">
        <v>258</v>
      </c>
      <c r="C964" s="40" t="s">
        <v>520</v>
      </c>
      <c r="D964" s="75" t="s">
        <v>1269</v>
      </c>
      <c r="E964" s="75" t="s">
        <v>1266</v>
      </c>
      <c r="F964" s="75" t="s">
        <v>1268</v>
      </c>
      <c r="G964" s="75" t="s">
        <v>1267</v>
      </c>
    </row>
    <row r="965" spans="1:7" x14ac:dyDescent="0.2">
      <c r="A965" s="40">
        <v>4463</v>
      </c>
      <c r="B965" s="39" t="s">
        <v>1741</v>
      </c>
      <c r="C965" s="40" t="s">
        <v>520</v>
      </c>
      <c r="D965" s="75" t="s">
        <v>1269</v>
      </c>
      <c r="E965" s="75" t="s">
        <v>1266</v>
      </c>
      <c r="F965" s="75" t="s">
        <v>1268</v>
      </c>
      <c r="G965" s="75" t="s">
        <v>1268</v>
      </c>
    </row>
    <row r="966" spans="1:7" x14ac:dyDescent="0.2">
      <c r="A966" s="40">
        <v>4464</v>
      </c>
      <c r="B966" s="39" t="s">
        <v>1742</v>
      </c>
      <c r="C966" s="40" t="s">
        <v>520</v>
      </c>
      <c r="D966" s="75" t="s">
        <v>1269</v>
      </c>
      <c r="E966" s="75" t="s">
        <v>1266</v>
      </c>
      <c r="F966" s="75" t="s">
        <v>1268</v>
      </c>
      <c r="G966" s="75" t="s">
        <v>1267</v>
      </c>
    </row>
    <row r="967" spans="1:7" x14ac:dyDescent="0.2">
      <c r="A967" s="40">
        <v>4470</v>
      </c>
      <c r="B967" s="39" t="s">
        <v>1743</v>
      </c>
      <c r="C967" s="40" t="s">
        <v>520</v>
      </c>
      <c r="D967" s="75" t="s">
        <v>1269</v>
      </c>
      <c r="E967" s="75" t="s">
        <v>1266</v>
      </c>
      <c r="F967" s="75" t="s">
        <v>1268</v>
      </c>
      <c r="G967" s="75" t="s">
        <v>1268</v>
      </c>
    </row>
    <row r="968" spans="1:7" x14ac:dyDescent="0.2">
      <c r="A968" s="40">
        <v>4481</v>
      </c>
      <c r="B968" s="39" t="s">
        <v>1744</v>
      </c>
      <c r="C968" s="40" t="s">
        <v>520</v>
      </c>
      <c r="D968" s="75" t="s">
        <v>1269</v>
      </c>
      <c r="E968" s="75" t="s">
        <v>1266</v>
      </c>
      <c r="F968" s="75" t="s">
        <v>1268</v>
      </c>
      <c r="G968" s="75" t="s">
        <v>1268</v>
      </c>
    </row>
    <row r="969" spans="1:7" x14ac:dyDescent="0.2">
      <c r="A969" s="40">
        <v>4482</v>
      </c>
      <c r="B969" s="39" t="s">
        <v>1745</v>
      </c>
      <c r="C969" s="40" t="s">
        <v>1281</v>
      </c>
      <c r="D969" s="75" t="s">
        <v>1269</v>
      </c>
      <c r="E969" s="75" t="s">
        <v>1266</v>
      </c>
      <c r="F969" s="75" t="s">
        <v>1268</v>
      </c>
      <c r="G969" s="75" t="s">
        <v>1267</v>
      </c>
    </row>
    <row r="970" spans="1:7" x14ac:dyDescent="0.2">
      <c r="A970" s="40">
        <v>4483</v>
      </c>
      <c r="B970" s="39" t="s">
        <v>1746</v>
      </c>
      <c r="C970" s="40" t="s">
        <v>520</v>
      </c>
      <c r="D970" s="75" t="s">
        <v>1269</v>
      </c>
      <c r="E970" s="75" t="s">
        <v>1266</v>
      </c>
      <c r="F970" s="75" t="s">
        <v>1268</v>
      </c>
      <c r="G970" s="75" t="s">
        <v>1267</v>
      </c>
    </row>
    <row r="971" spans="1:7" x14ac:dyDescent="0.2">
      <c r="A971" s="40">
        <v>4484</v>
      </c>
      <c r="B971" s="39" t="s">
        <v>1747</v>
      </c>
      <c r="C971" s="40" t="s">
        <v>520</v>
      </c>
      <c r="D971" s="75" t="s">
        <v>1269</v>
      </c>
      <c r="E971" s="75" t="s">
        <v>1266</v>
      </c>
      <c r="F971" s="75" t="s">
        <v>1268</v>
      </c>
      <c r="G971" s="75" t="s">
        <v>1268</v>
      </c>
    </row>
    <row r="972" spans="1:7" x14ac:dyDescent="0.2">
      <c r="A972" s="40">
        <v>4490</v>
      </c>
      <c r="B972" s="39" t="s">
        <v>1748</v>
      </c>
      <c r="C972" s="40" t="s">
        <v>520</v>
      </c>
      <c r="D972" s="75" t="s">
        <v>1269</v>
      </c>
      <c r="E972" s="75" t="s">
        <v>1266</v>
      </c>
      <c r="F972" s="75" t="s">
        <v>1268</v>
      </c>
      <c r="G972" s="75" t="s">
        <v>1268</v>
      </c>
    </row>
    <row r="973" spans="1:7" x14ac:dyDescent="0.2">
      <c r="A973" s="40">
        <v>4491</v>
      </c>
      <c r="B973" s="39" t="s">
        <v>1749</v>
      </c>
      <c r="C973" s="40" t="s">
        <v>520</v>
      </c>
      <c r="D973" s="75" t="s">
        <v>1269</v>
      </c>
      <c r="E973" s="75" t="s">
        <v>1266</v>
      </c>
      <c r="F973" s="75" t="s">
        <v>1268</v>
      </c>
      <c r="G973" s="75" t="s">
        <v>1268</v>
      </c>
    </row>
    <row r="974" spans="1:7" x14ac:dyDescent="0.2">
      <c r="A974" s="40">
        <v>4492</v>
      </c>
      <c r="B974" s="39" t="s">
        <v>1750</v>
      </c>
      <c r="C974" s="40" t="s">
        <v>520</v>
      </c>
      <c r="D974" s="75" t="s">
        <v>1269</v>
      </c>
      <c r="E974" s="75" t="s">
        <v>1266</v>
      </c>
      <c r="F974" s="75" t="s">
        <v>1268</v>
      </c>
      <c r="G974" s="75" t="s">
        <v>1267</v>
      </c>
    </row>
    <row r="975" spans="1:7" x14ac:dyDescent="0.2">
      <c r="A975" s="40">
        <v>4493</v>
      </c>
      <c r="B975" s="39" t="s">
        <v>1751</v>
      </c>
      <c r="C975" s="40" t="s">
        <v>520</v>
      </c>
      <c r="D975" s="75" t="s">
        <v>1269</v>
      </c>
      <c r="E975" s="75" t="s">
        <v>1266</v>
      </c>
      <c r="F975" s="75" t="s">
        <v>1268</v>
      </c>
      <c r="G975" s="75" t="s">
        <v>1267</v>
      </c>
    </row>
    <row r="976" spans="1:7" x14ac:dyDescent="0.2">
      <c r="A976" s="40">
        <v>4501</v>
      </c>
      <c r="B976" s="39" t="s">
        <v>1752</v>
      </c>
      <c r="C976" s="40" t="s">
        <v>520</v>
      </c>
      <c r="D976" s="75" t="s">
        <v>1269</v>
      </c>
      <c r="E976" s="75" t="s">
        <v>1266</v>
      </c>
      <c r="F976" s="75" t="s">
        <v>1268</v>
      </c>
      <c r="G976" s="75" t="s">
        <v>1268</v>
      </c>
    </row>
    <row r="977" spans="1:7" x14ac:dyDescent="0.2">
      <c r="A977" s="40">
        <v>4502</v>
      </c>
      <c r="B977" s="39" t="s">
        <v>1753</v>
      </c>
      <c r="C977" s="40" t="s">
        <v>520</v>
      </c>
      <c r="D977" s="75" t="s">
        <v>1269</v>
      </c>
      <c r="E977" s="75" t="s">
        <v>1266</v>
      </c>
      <c r="F977" s="75" t="s">
        <v>1268</v>
      </c>
      <c r="G977" s="75" t="s">
        <v>1268</v>
      </c>
    </row>
    <row r="978" spans="1:7" x14ac:dyDescent="0.2">
      <c r="A978" s="40">
        <v>4511</v>
      </c>
      <c r="B978" s="39" t="s">
        <v>1754</v>
      </c>
      <c r="C978" s="40" t="s">
        <v>520</v>
      </c>
      <c r="D978" s="75" t="s">
        <v>1269</v>
      </c>
      <c r="E978" s="75" t="s">
        <v>1266</v>
      </c>
      <c r="F978" s="75" t="s">
        <v>1268</v>
      </c>
      <c r="G978" s="75" t="s">
        <v>1267</v>
      </c>
    </row>
    <row r="979" spans="1:7" x14ac:dyDescent="0.2">
      <c r="A979" s="40">
        <v>4521</v>
      </c>
      <c r="B979" s="39" t="s">
        <v>1755</v>
      </c>
      <c r="C979" s="40" t="s">
        <v>520</v>
      </c>
      <c r="D979" s="75" t="s">
        <v>1269</v>
      </c>
      <c r="E979" s="75" t="s">
        <v>1266</v>
      </c>
      <c r="F979" s="75" t="s">
        <v>1268</v>
      </c>
      <c r="G979" s="75" t="s">
        <v>1267</v>
      </c>
    </row>
    <row r="980" spans="1:7" x14ac:dyDescent="0.2">
      <c r="A980" s="40">
        <v>4522</v>
      </c>
      <c r="B980" s="39" t="s">
        <v>1756</v>
      </c>
      <c r="C980" s="40" t="s">
        <v>520</v>
      </c>
      <c r="D980" s="75" t="s">
        <v>1269</v>
      </c>
      <c r="E980" s="75" t="s">
        <v>1266</v>
      </c>
      <c r="F980" s="75" t="s">
        <v>1268</v>
      </c>
      <c r="G980" s="75" t="s">
        <v>1268</v>
      </c>
    </row>
    <row r="981" spans="1:7" x14ac:dyDescent="0.2">
      <c r="A981" s="40">
        <v>4523</v>
      </c>
      <c r="B981" s="39" t="s">
        <v>1757</v>
      </c>
      <c r="C981" s="40" t="s">
        <v>520</v>
      </c>
      <c r="D981" s="75" t="s">
        <v>1269</v>
      </c>
      <c r="E981" s="75" t="s">
        <v>1266</v>
      </c>
      <c r="F981" s="75" t="s">
        <v>1268</v>
      </c>
      <c r="G981" s="75" t="s">
        <v>1267</v>
      </c>
    </row>
    <row r="982" spans="1:7" x14ac:dyDescent="0.2">
      <c r="A982" s="40">
        <v>4531</v>
      </c>
      <c r="B982" s="39" t="s">
        <v>1758</v>
      </c>
      <c r="C982" s="40" t="s">
        <v>520</v>
      </c>
      <c r="D982" s="75" t="s">
        <v>1269</v>
      </c>
      <c r="E982" s="75" t="s">
        <v>1266</v>
      </c>
      <c r="F982" s="75" t="s">
        <v>1268</v>
      </c>
      <c r="G982" s="75" t="s">
        <v>1268</v>
      </c>
    </row>
    <row r="983" spans="1:7" x14ac:dyDescent="0.2">
      <c r="A983" s="40">
        <v>4532</v>
      </c>
      <c r="B983" s="39" t="s">
        <v>1759</v>
      </c>
      <c r="C983" s="40" t="s">
        <v>520</v>
      </c>
      <c r="D983" s="75" t="s">
        <v>1269</v>
      </c>
      <c r="E983" s="75" t="s">
        <v>1266</v>
      </c>
      <c r="F983" s="75" t="s">
        <v>1268</v>
      </c>
      <c r="G983" s="75" t="s">
        <v>1267</v>
      </c>
    </row>
    <row r="984" spans="1:7" x14ac:dyDescent="0.2">
      <c r="A984" s="40">
        <v>4533</v>
      </c>
      <c r="B984" s="39" t="s">
        <v>1760</v>
      </c>
      <c r="C984" s="40" t="s">
        <v>520</v>
      </c>
      <c r="D984" s="75" t="s">
        <v>1269</v>
      </c>
      <c r="E984" s="75" t="s">
        <v>1266</v>
      </c>
      <c r="F984" s="75" t="s">
        <v>1268</v>
      </c>
      <c r="G984" s="75" t="s">
        <v>1267</v>
      </c>
    </row>
    <row r="985" spans="1:7" x14ac:dyDescent="0.2">
      <c r="A985" s="40">
        <v>4540</v>
      </c>
      <c r="B985" s="39" t="s">
        <v>1761</v>
      </c>
      <c r="C985" s="40" t="s">
        <v>520</v>
      </c>
      <c r="D985" s="75" t="s">
        <v>1269</v>
      </c>
      <c r="E985" s="75" t="s">
        <v>1266</v>
      </c>
      <c r="F985" s="75" t="s">
        <v>1268</v>
      </c>
      <c r="G985" s="75" t="s">
        <v>1268</v>
      </c>
    </row>
    <row r="986" spans="1:7" x14ac:dyDescent="0.2">
      <c r="A986" s="40">
        <v>4541</v>
      </c>
      <c r="B986" s="39" t="s">
        <v>1762</v>
      </c>
      <c r="C986" s="40" t="s">
        <v>520</v>
      </c>
      <c r="D986" s="75" t="s">
        <v>1269</v>
      </c>
      <c r="E986" s="75" t="s">
        <v>1266</v>
      </c>
      <c r="F986" s="75" t="s">
        <v>1268</v>
      </c>
      <c r="G986" s="75" t="s">
        <v>1267</v>
      </c>
    </row>
    <row r="987" spans="1:7" x14ac:dyDescent="0.2">
      <c r="A987" s="40">
        <v>4542</v>
      </c>
      <c r="B987" s="39" t="s">
        <v>1763</v>
      </c>
      <c r="C987" s="40" t="s">
        <v>520</v>
      </c>
      <c r="D987" s="75" t="s">
        <v>1269</v>
      </c>
      <c r="E987" s="75" t="s">
        <v>1266</v>
      </c>
      <c r="F987" s="75" t="s">
        <v>1268</v>
      </c>
      <c r="G987" s="75" t="s">
        <v>1267</v>
      </c>
    </row>
    <row r="988" spans="1:7" x14ac:dyDescent="0.2">
      <c r="A988" s="40">
        <v>4550</v>
      </c>
      <c r="B988" s="39" t="s">
        <v>204</v>
      </c>
      <c r="C988" s="40" t="s">
        <v>520</v>
      </c>
      <c r="D988" s="75" t="s">
        <v>1269</v>
      </c>
      <c r="E988" s="75" t="s">
        <v>1266</v>
      </c>
      <c r="F988" s="75" t="s">
        <v>1268</v>
      </c>
      <c r="G988" s="75" t="s">
        <v>1268</v>
      </c>
    </row>
    <row r="989" spans="1:7" x14ac:dyDescent="0.2">
      <c r="A989" s="40">
        <v>4551</v>
      </c>
      <c r="B989" s="39" t="s">
        <v>1764</v>
      </c>
      <c r="C989" s="40" t="s">
        <v>520</v>
      </c>
      <c r="D989" s="75" t="s">
        <v>1269</v>
      </c>
      <c r="E989" s="75" t="s">
        <v>1266</v>
      </c>
      <c r="F989" s="75" t="s">
        <v>1268</v>
      </c>
      <c r="G989" s="75" t="s">
        <v>1267</v>
      </c>
    </row>
    <row r="990" spans="1:7" x14ac:dyDescent="0.2">
      <c r="A990" s="40">
        <v>4552</v>
      </c>
      <c r="B990" s="39" t="s">
        <v>1765</v>
      </c>
      <c r="C990" s="40" t="s">
        <v>520</v>
      </c>
      <c r="D990" s="75" t="s">
        <v>1269</v>
      </c>
      <c r="E990" s="75" t="s">
        <v>1266</v>
      </c>
      <c r="F990" s="75" t="s">
        <v>1268</v>
      </c>
      <c r="G990" s="75" t="s">
        <v>1268</v>
      </c>
    </row>
    <row r="991" spans="1:7" x14ac:dyDescent="0.2">
      <c r="A991" s="40">
        <v>4553</v>
      </c>
      <c r="B991" s="39" t="s">
        <v>1766</v>
      </c>
      <c r="C991" s="40" t="s">
        <v>520</v>
      </c>
      <c r="D991" s="75" t="s">
        <v>1269</v>
      </c>
      <c r="E991" s="75" t="s">
        <v>1266</v>
      </c>
      <c r="F991" s="75" t="s">
        <v>1268</v>
      </c>
      <c r="G991" s="75" t="s">
        <v>1267</v>
      </c>
    </row>
    <row r="992" spans="1:7" x14ac:dyDescent="0.2">
      <c r="A992" s="40">
        <v>4560</v>
      </c>
      <c r="B992" s="39" t="s">
        <v>1767</v>
      </c>
      <c r="C992" s="40" t="s">
        <v>520</v>
      </c>
      <c r="D992" s="75" t="s">
        <v>1269</v>
      </c>
      <c r="E992" s="75" t="s">
        <v>1266</v>
      </c>
      <c r="F992" s="75" t="s">
        <v>1268</v>
      </c>
      <c r="G992" s="75" t="s">
        <v>1268</v>
      </c>
    </row>
    <row r="993" spans="1:7" x14ac:dyDescent="0.2">
      <c r="A993" s="40">
        <v>4562</v>
      </c>
      <c r="B993" s="39" t="s">
        <v>1768</v>
      </c>
      <c r="C993" s="40" t="s">
        <v>520</v>
      </c>
      <c r="D993" s="75" t="s">
        <v>1269</v>
      </c>
      <c r="E993" s="75" t="s">
        <v>1266</v>
      </c>
      <c r="F993" s="75" t="s">
        <v>1268</v>
      </c>
      <c r="G993" s="75" t="s">
        <v>1267</v>
      </c>
    </row>
    <row r="994" spans="1:7" x14ac:dyDescent="0.2">
      <c r="A994" s="40">
        <v>4563</v>
      </c>
      <c r="B994" s="39" t="s">
        <v>1769</v>
      </c>
      <c r="C994" s="40" t="s">
        <v>520</v>
      </c>
      <c r="D994" s="75" t="s">
        <v>1269</v>
      </c>
      <c r="E994" s="75" t="s">
        <v>1266</v>
      </c>
      <c r="F994" s="75" t="s">
        <v>1268</v>
      </c>
      <c r="G994" s="75" t="s">
        <v>1268</v>
      </c>
    </row>
    <row r="995" spans="1:7" x14ac:dyDescent="0.2">
      <c r="A995" s="40">
        <v>4564</v>
      </c>
      <c r="B995" s="39" t="s">
        <v>1770</v>
      </c>
      <c r="C995" s="40" t="s">
        <v>520</v>
      </c>
      <c r="D995" s="75" t="s">
        <v>1269</v>
      </c>
      <c r="E995" s="75" t="s">
        <v>1266</v>
      </c>
      <c r="F995" s="75" t="s">
        <v>1268</v>
      </c>
      <c r="G995" s="75" t="s">
        <v>1267</v>
      </c>
    </row>
    <row r="996" spans="1:7" x14ac:dyDescent="0.2">
      <c r="A996" s="40">
        <v>4571</v>
      </c>
      <c r="B996" s="39" t="s">
        <v>1771</v>
      </c>
      <c r="C996" s="40" t="s">
        <v>520</v>
      </c>
      <c r="D996" s="75" t="s">
        <v>1269</v>
      </c>
      <c r="E996" s="75" t="s">
        <v>1266</v>
      </c>
      <c r="F996" s="75" t="s">
        <v>1268</v>
      </c>
      <c r="G996" s="75" t="s">
        <v>1267</v>
      </c>
    </row>
    <row r="997" spans="1:7" x14ac:dyDescent="0.2">
      <c r="A997" s="40">
        <v>4572</v>
      </c>
      <c r="B997" s="39" t="s">
        <v>1772</v>
      </c>
      <c r="C997" s="40" t="s">
        <v>520</v>
      </c>
      <c r="D997" s="75" t="s">
        <v>1269</v>
      </c>
      <c r="E997" s="75" t="s">
        <v>1266</v>
      </c>
      <c r="F997" s="75" t="s">
        <v>1268</v>
      </c>
      <c r="G997" s="75" t="s">
        <v>1267</v>
      </c>
    </row>
    <row r="998" spans="1:7" x14ac:dyDescent="0.2">
      <c r="A998" s="40">
        <v>4573</v>
      </c>
      <c r="B998" s="39" t="s">
        <v>1773</v>
      </c>
      <c r="C998" s="40" t="s">
        <v>520</v>
      </c>
      <c r="D998" s="75" t="s">
        <v>1269</v>
      </c>
      <c r="E998" s="75" t="s">
        <v>1266</v>
      </c>
      <c r="F998" s="75" t="s">
        <v>1268</v>
      </c>
      <c r="G998" s="75" t="s">
        <v>1268</v>
      </c>
    </row>
    <row r="999" spans="1:7" x14ac:dyDescent="0.2">
      <c r="A999" s="40">
        <v>4574</v>
      </c>
      <c r="B999" s="39" t="s">
        <v>1774</v>
      </c>
      <c r="C999" s="40" t="s">
        <v>520</v>
      </c>
      <c r="D999" s="75" t="s">
        <v>1269</v>
      </c>
      <c r="E999" s="75" t="s">
        <v>1266</v>
      </c>
      <c r="F999" s="75" t="s">
        <v>1268</v>
      </c>
      <c r="G999" s="75" t="s">
        <v>1267</v>
      </c>
    </row>
    <row r="1000" spans="1:7" x14ac:dyDescent="0.2">
      <c r="A1000" s="40">
        <v>4575</v>
      </c>
      <c r="B1000" s="39" t="s">
        <v>1775</v>
      </c>
      <c r="C1000" s="40" t="s">
        <v>520</v>
      </c>
      <c r="D1000" s="75" t="s">
        <v>1269</v>
      </c>
      <c r="E1000" s="75" t="s">
        <v>1266</v>
      </c>
      <c r="F1000" s="75" t="s">
        <v>1268</v>
      </c>
      <c r="G1000" s="75" t="s">
        <v>1267</v>
      </c>
    </row>
    <row r="1001" spans="1:7" x14ac:dyDescent="0.2">
      <c r="A1001" s="40">
        <v>4580</v>
      </c>
      <c r="B1001" s="39" t="s">
        <v>1776</v>
      </c>
      <c r="C1001" s="40" t="s">
        <v>520</v>
      </c>
      <c r="D1001" s="75" t="s">
        <v>1269</v>
      </c>
      <c r="E1001" s="75" t="s">
        <v>1266</v>
      </c>
      <c r="F1001" s="75" t="s">
        <v>1268</v>
      </c>
      <c r="G1001" s="75" t="s">
        <v>1268</v>
      </c>
    </row>
    <row r="1002" spans="1:7" x14ac:dyDescent="0.2">
      <c r="A1002" s="40">
        <v>4581</v>
      </c>
      <c r="B1002" s="39" t="s">
        <v>1777</v>
      </c>
      <c r="C1002" s="40" t="s">
        <v>520</v>
      </c>
      <c r="D1002" s="75" t="s">
        <v>1269</v>
      </c>
      <c r="E1002" s="75" t="s">
        <v>1266</v>
      </c>
      <c r="F1002" s="75" t="s">
        <v>1268</v>
      </c>
      <c r="G1002" s="75" t="s">
        <v>1267</v>
      </c>
    </row>
    <row r="1003" spans="1:7" x14ac:dyDescent="0.2">
      <c r="A1003" s="40">
        <v>4582</v>
      </c>
      <c r="B1003" s="39" t="s">
        <v>1778</v>
      </c>
      <c r="C1003" s="40" t="s">
        <v>520</v>
      </c>
      <c r="D1003" s="75" t="s">
        <v>1269</v>
      </c>
      <c r="E1003" s="75" t="s">
        <v>1266</v>
      </c>
      <c r="F1003" s="75" t="s">
        <v>1268</v>
      </c>
      <c r="G1003" s="75" t="s">
        <v>1268</v>
      </c>
    </row>
    <row r="1004" spans="1:7" x14ac:dyDescent="0.2">
      <c r="A1004" s="40">
        <v>4591</v>
      </c>
      <c r="B1004" s="39" t="s">
        <v>1779</v>
      </c>
      <c r="C1004" s="40" t="s">
        <v>520</v>
      </c>
      <c r="D1004" s="75" t="s">
        <v>1269</v>
      </c>
      <c r="E1004" s="75" t="s">
        <v>1266</v>
      </c>
      <c r="F1004" s="75" t="s">
        <v>1268</v>
      </c>
      <c r="G1004" s="75" t="s">
        <v>1268</v>
      </c>
    </row>
    <row r="1005" spans="1:7" x14ac:dyDescent="0.2">
      <c r="A1005" s="40">
        <v>4592</v>
      </c>
      <c r="B1005" s="39" t="s">
        <v>1780</v>
      </c>
      <c r="C1005" s="40" t="s">
        <v>520</v>
      </c>
      <c r="D1005" s="75" t="s">
        <v>1269</v>
      </c>
      <c r="E1005" s="75" t="s">
        <v>1266</v>
      </c>
      <c r="F1005" s="75" t="s">
        <v>1268</v>
      </c>
      <c r="G1005" s="75" t="s">
        <v>1267</v>
      </c>
    </row>
    <row r="1006" spans="1:7" x14ac:dyDescent="0.2">
      <c r="A1006" s="40">
        <v>4593</v>
      </c>
      <c r="B1006" s="39" t="s">
        <v>1781</v>
      </c>
      <c r="C1006" s="40" t="s">
        <v>520</v>
      </c>
      <c r="D1006" s="75" t="s">
        <v>1269</v>
      </c>
      <c r="E1006" s="75" t="s">
        <v>1266</v>
      </c>
      <c r="F1006" s="75" t="s">
        <v>1268</v>
      </c>
      <c r="G1006" s="75" t="s">
        <v>1267</v>
      </c>
    </row>
    <row r="1007" spans="1:7" x14ac:dyDescent="0.2">
      <c r="A1007" s="40">
        <v>4594</v>
      </c>
      <c r="B1007" s="39" t="s">
        <v>1782</v>
      </c>
      <c r="C1007" s="40" t="s">
        <v>520</v>
      </c>
      <c r="D1007" s="75" t="s">
        <v>1269</v>
      </c>
      <c r="E1007" s="75" t="s">
        <v>1266</v>
      </c>
      <c r="F1007" s="75" t="s">
        <v>1268</v>
      </c>
      <c r="G1007" s="75" t="s">
        <v>1268</v>
      </c>
    </row>
    <row r="1008" spans="1:7" x14ac:dyDescent="0.2">
      <c r="A1008" s="40">
        <v>4595</v>
      </c>
      <c r="B1008" s="39" t="s">
        <v>1783</v>
      </c>
      <c r="C1008" s="40" t="s">
        <v>520</v>
      </c>
      <c r="D1008" s="75" t="s">
        <v>1269</v>
      </c>
      <c r="E1008" s="75" t="s">
        <v>1266</v>
      </c>
      <c r="F1008" s="75" t="s">
        <v>1268</v>
      </c>
      <c r="G1008" s="75" t="s">
        <v>1267</v>
      </c>
    </row>
    <row r="1009" spans="1:7" x14ac:dyDescent="0.2">
      <c r="A1009" s="40">
        <v>4600</v>
      </c>
      <c r="B1009" s="39" t="s">
        <v>280</v>
      </c>
      <c r="C1009" s="40" t="s">
        <v>520</v>
      </c>
      <c r="D1009" s="75" t="s">
        <v>1269</v>
      </c>
      <c r="E1009" s="75" t="s">
        <v>1266</v>
      </c>
      <c r="F1009" s="75" t="s">
        <v>1268</v>
      </c>
      <c r="G1009" s="75" t="s">
        <v>1268</v>
      </c>
    </row>
    <row r="1010" spans="1:7" x14ac:dyDescent="0.2">
      <c r="A1010" s="40">
        <v>4601</v>
      </c>
      <c r="B1010" s="39" t="s">
        <v>280</v>
      </c>
      <c r="C1010" s="40" t="s">
        <v>520</v>
      </c>
      <c r="D1010" s="75" t="s">
        <v>1271</v>
      </c>
      <c r="E1010" s="75" t="s">
        <v>1266</v>
      </c>
      <c r="F1010" s="75" t="s">
        <v>1267</v>
      </c>
      <c r="G1010" s="75" t="s">
        <v>1268</v>
      </c>
    </row>
    <row r="1011" spans="1:7" x14ac:dyDescent="0.2">
      <c r="A1011" s="40">
        <v>4602</v>
      </c>
      <c r="B1011" s="39" t="s">
        <v>286</v>
      </c>
      <c r="C1011" s="40" t="s">
        <v>520</v>
      </c>
      <c r="D1011" s="75" t="s">
        <v>1271</v>
      </c>
      <c r="E1011" s="75" t="s">
        <v>1266</v>
      </c>
      <c r="F1011" s="75" t="s">
        <v>1267</v>
      </c>
      <c r="G1011" s="75" t="s">
        <v>1268</v>
      </c>
    </row>
    <row r="1012" spans="1:7" x14ac:dyDescent="0.2">
      <c r="A1012" s="40">
        <v>4603</v>
      </c>
      <c r="B1012" s="39" t="s">
        <v>280</v>
      </c>
      <c r="C1012" s="40" t="s">
        <v>520</v>
      </c>
      <c r="D1012" s="75" t="s">
        <v>1271</v>
      </c>
      <c r="E1012" s="75" t="s">
        <v>1266</v>
      </c>
      <c r="F1012" s="75" t="s">
        <v>1267</v>
      </c>
      <c r="G1012" s="75" t="s">
        <v>1268</v>
      </c>
    </row>
    <row r="1013" spans="1:7" x14ac:dyDescent="0.2">
      <c r="A1013" s="40">
        <v>4604</v>
      </c>
      <c r="B1013" s="39" t="s">
        <v>280</v>
      </c>
      <c r="C1013" s="40" t="s">
        <v>520</v>
      </c>
      <c r="D1013" s="75" t="s">
        <v>1271</v>
      </c>
      <c r="E1013" s="75" t="s">
        <v>1266</v>
      </c>
      <c r="F1013" s="75" t="s">
        <v>1267</v>
      </c>
      <c r="G1013" s="75" t="s">
        <v>1268</v>
      </c>
    </row>
    <row r="1014" spans="1:7" x14ac:dyDescent="0.2">
      <c r="A1014" s="40">
        <v>4605</v>
      </c>
      <c r="B1014" s="39" t="s">
        <v>280</v>
      </c>
      <c r="C1014" s="40" t="s">
        <v>520</v>
      </c>
      <c r="D1014" s="75" t="s">
        <v>1271</v>
      </c>
      <c r="E1014" s="75" t="s">
        <v>1266</v>
      </c>
      <c r="F1014" s="75" t="s">
        <v>1267</v>
      </c>
      <c r="G1014" s="75" t="s">
        <v>1268</v>
      </c>
    </row>
    <row r="1015" spans="1:7" x14ac:dyDescent="0.2">
      <c r="A1015" s="40">
        <v>4606</v>
      </c>
      <c r="B1015" s="39" t="s">
        <v>280</v>
      </c>
      <c r="C1015" s="40" t="s">
        <v>520</v>
      </c>
      <c r="D1015" s="75" t="s">
        <v>1271</v>
      </c>
      <c r="E1015" s="75" t="s">
        <v>1266</v>
      </c>
      <c r="F1015" s="75" t="s">
        <v>1267</v>
      </c>
      <c r="G1015" s="75" t="s">
        <v>1268</v>
      </c>
    </row>
    <row r="1016" spans="1:7" x14ac:dyDescent="0.2">
      <c r="A1016" s="40">
        <v>4607</v>
      </c>
      <c r="B1016" s="39" t="s">
        <v>280</v>
      </c>
      <c r="C1016" s="40" t="s">
        <v>520</v>
      </c>
      <c r="D1016" s="75" t="s">
        <v>1271</v>
      </c>
      <c r="E1016" s="75" t="s">
        <v>1266</v>
      </c>
      <c r="F1016" s="75" t="s">
        <v>1267</v>
      </c>
      <c r="G1016" s="75" t="s">
        <v>1268</v>
      </c>
    </row>
    <row r="1017" spans="1:7" x14ac:dyDescent="0.2">
      <c r="A1017" s="40">
        <v>4609</v>
      </c>
      <c r="B1017" s="39" t="s">
        <v>287</v>
      </c>
      <c r="C1017" s="40" t="s">
        <v>520</v>
      </c>
      <c r="D1017" s="75" t="s">
        <v>1271</v>
      </c>
      <c r="E1017" s="75" t="s">
        <v>1266</v>
      </c>
      <c r="F1017" s="75" t="s">
        <v>1267</v>
      </c>
      <c r="G1017" s="75" t="s">
        <v>1268</v>
      </c>
    </row>
    <row r="1018" spans="1:7" x14ac:dyDescent="0.2">
      <c r="A1018" s="40">
        <v>4611</v>
      </c>
      <c r="B1018" s="39" t="s">
        <v>288</v>
      </c>
      <c r="C1018" s="40" t="s">
        <v>520</v>
      </c>
      <c r="D1018" s="75" t="s">
        <v>1269</v>
      </c>
      <c r="E1018" s="75" t="s">
        <v>1266</v>
      </c>
      <c r="F1018" s="75" t="s">
        <v>1268</v>
      </c>
      <c r="G1018" s="75" t="s">
        <v>1267</v>
      </c>
    </row>
    <row r="1019" spans="1:7" x14ac:dyDescent="0.2">
      <c r="A1019" s="40">
        <v>4612</v>
      </c>
      <c r="B1019" s="39" t="s">
        <v>289</v>
      </c>
      <c r="C1019" s="40" t="s">
        <v>520</v>
      </c>
      <c r="D1019" s="75" t="s">
        <v>1269</v>
      </c>
      <c r="E1019" s="75" t="s">
        <v>1266</v>
      </c>
      <c r="F1019" s="75" t="s">
        <v>1268</v>
      </c>
      <c r="G1019" s="75" t="s">
        <v>1267</v>
      </c>
    </row>
    <row r="1020" spans="1:7" x14ac:dyDescent="0.2">
      <c r="A1020" s="40">
        <v>4613</v>
      </c>
      <c r="B1020" s="39" t="s">
        <v>290</v>
      </c>
      <c r="C1020" s="40" t="s">
        <v>520</v>
      </c>
      <c r="D1020" s="75" t="s">
        <v>1269</v>
      </c>
      <c r="E1020" s="75" t="s">
        <v>1266</v>
      </c>
      <c r="F1020" s="75" t="s">
        <v>1268</v>
      </c>
      <c r="G1020" s="75" t="s">
        <v>1267</v>
      </c>
    </row>
    <row r="1021" spans="1:7" x14ac:dyDescent="0.2">
      <c r="A1021" s="40">
        <v>4614</v>
      </c>
      <c r="B1021" s="39" t="s">
        <v>291</v>
      </c>
      <c r="C1021" s="40" t="s">
        <v>520</v>
      </c>
      <c r="D1021" s="75" t="s">
        <v>1269</v>
      </c>
      <c r="E1021" s="75" t="s">
        <v>1266</v>
      </c>
      <c r="F1021" s="75" t="s">
        <v>1268</v>
      </c>
      <c r="G1021" s="75" t="s">
        <v>1268</v>
      </c>
    </row>
    <row r="1022" spans="1:7" x14ac:dyDescent="0.2">
      <c r="A1022" s="40">
        <v>4615</v>
      </c>
      <c r="B1022" s="39" t="s">
        <v>292</v>
      </c>
      <c r="C1022" s="40" t="s">
        <v>520</v>
      </c>
      <c r="D1022" s="75" t="s">
        <v>1269</v>
      </c>
      <c r="E1022" s="75" t="s">
        <v>1266</v>
      </c>
      <c r="F1022" s="75" t="s">
        <v>1268</v>
      </c>
      <c r="G1022" s="75" t="s">
        <v>1267</v>
      </c>
    </row>
    <row r="1023" spans="1:7" x14ac:dyDescent="0.2">
      <c r="A1023" s="40">
        <v>4616</v>
      </c>
      <c r="B1023" s="39" t="s">
        <v>293</v>
      </c>
      <c r="C1023" s="40" t="s">
        <v>520</v>
      </c>
      <c r="D1023" s="75" t="s">
        <v>1269</v>
      </c>
      <c r="E1023" s="75" t="s">
        <v>1266</v>
      </c>
      <c r="F1023" s="75" t="s">
        <v>1268</v>
      </c>
      <c r="G1023" s="75" t="s">
        <v>1267</v>
      </c>
    </row>
    <row r="1024" spans="1:7" x14ac:dyDescent="0.2">
      <c r="A1024" s="40">
        <v>4621</v>
      </c>
      <c r="B1024" s="39" t="s">
        <v>294</v>
      </c>
      <c r="C1024" s="40" t="s">
        <v>520</v>
      </c>
      <c r="D1024" s="75" t="s">
        <v>1269</v>
      </c>
      <c r="E1024" s="75" t="s">
        <v>1266</v>
      </c>
      <c r="F1024" s="75" t="s">
        <v>1268</v>
      </c>
      <c r="G1024" s="75" t="s">
        <v>1267</v>
      </c>
    </row>
    <row r="1025" spans="1:7" x14ac:dyDescent="0.2">
      <c r="A1025" s="40">
        <v>4622</v>
      </c>
      <c r="B1025" s="39" t="s">
        <v>295</v>
      </c>
      <c r="C1025" s="40" t="s">
        <v>520</v>
      </c>
      <c r="D1025" s="75" t="s">
        <v>1269</v>
      </c>
      <c r="E1025" s="75" t="s">
        <v>1266</v>
      </c>
      <c r="F1025" s="75" t="s">
        <v>1268</v>
      </c>
      <c r="G1025" s="75" t="s">
        <v>1267</v>
      </c>
    </row>
    <row r="1026" spans="1:7" x14ac:dyDescent="0.2">
      <c r="A1026" s="40">
        <v>4623</v>
      </c>
      <c r="B1026" s="39" t="s">
        <v>296</v>
      </c>
      <c r="C1026" s="40" t="s">
        <v>520</v>
      </c>
      <c r="D1026" s="75" t="s">
        <v>1269</v>
      </c>
      <c r="E1026" s="75" t="s">
        <v>1266</v>
      </c>
      <c r="F1026" s="75" t="s">
        <v>1268</v>
      </c>
      <c r="G1026" s="75" t="s">
        <v>1268</v>
      </c>
    </row>
    <row r="1027" spans="1:7" x14ac:dyDescent="0.2">
      <c r="A1027" s="40">
        <v>4624</v>
      </c>
      <c r="B1027" s="39" t="s">
        <v>297</v>
      </c>
      <c r="C1027" s="40" t="s">
        <v>520</v>
      </c>
      <c r="D1027" s="75" t="s">
        <v>1269</v>
      </c>
      <c r="E1027" s="75" t="s">
        <v>1266</v>
      </c>
      <c r="F1027" s="75" t="s">
        <v>1268</v>
      </c>
      <c r="G1027" s="75" t="s">
        <v>1267</v>
      </c>
    </row>
    <row r="1028" spans="1:7" x14ac:dyDescent="0.2">
      <c r="A1028" s="40">
        <v>4625</v>
      </c>
      <c r="B1028" s="39" t="s">
        <v>298</v>
      </c>
      <c r="C1028" s="40" t="s">
        <v>520</v>
      </c>
      <c r="D1028" s="75" t="s">
        <v>1269</v>
      </c>
      <c r="E1028" s="75" t="s">
        <v>1266</v>
      </c>
      <c r="F1028" s="75" t="s">
        <v>1268</v>
      </c>
      <c r="G1028" s="75" t="s">
        <v>1267</v>
      </c>
    </row>
    <row r="1029" spans="1:7" x14ac:dyDescent="0.2">
      <c r="A1029" s="40">
        <v>4631</v>
      </c>
      <c r="B1029" s="39" t="s">
        <v>299</v>
      </c>
      <c r="C1029" s="40" t="s">
        <v>520</v>
      </c>
      <c r="D1029" s="75" t="s">
        <v>1269</v>
      </c>
      <c r="E1029" s="75" t="s">
        <v>1266</v>
      </c>
      <c r="F1029" s="75" t="s">
        <v>1268</v>
      </c>
      <c r="G1029" s="75" t="s">
        <v>1267</v>
      </c>
    </row>
    <row r="1030" spans="1:7" x14ac:dyDescent="0.2">
      <c r="A1030" s="40">
        <v>4632</v>
      </c>
      <c r="B1030" s="39" t="s">
        <v>300</v>
      </c>
      <c r="C1030" s="40" t="s">
        <v>520</v>
      </c>
      <c r="D1030" s="75" t="s">
        <v>1269</v>
      </c>
      <c r="E1030" s="75" t="s">
        <v>1266</v>
      </c>
      <c r="F1030" s="75" t="s">
        <v>1268</v>
      </c>
      <c r="G1030" s="75" t="s">
        <v>1268</v>
      </c>
    </row>
    <row r="1031" spans="1:7" x14ac:dyDescent="0.2">
      <c r="A1031" s="40">
        <v>4633</v>
      </c>
      <c r="B1031" s="39" t="s">
        <v>301</v>
      </c>
      <c r="C1031" s="40" t="s">
        <v>520</v>
      </c>
      <c r="D1031" s="75" t="s">
        <v>1269</v>
      </c>
      <c r="E1031" s="75" t="s">
        <v>1266</v>
      </c>
      <c r="F1031" s="75" t="s">
        <v>1268</v>
      </c>
      <c r="G1031" s="75" t="s">
        <v>1267</v>
      </c>
    </row>
    <row r="1032" spans="1:7" x14ac:dyDescent="0.2">
      <c r="A1032" s="40">
        <v>4641</v>
      </c>
      <c r="B1032" s="39" t="s">
        <v>302</v>
      </c>
      <c r="C1032" s="40" t="s">
        <v>520</v>
      </c>
      <c r="D1032" s="75" t="s">
        <v>1269</v>
      </c>
      <c r="E1032" s="75" t="s">
        <v>1266</v>
      </c>
      <c r="F1032" s="75" t="s">
        <v>1268</v>
      </c>
      <c r="G1032" s="75" t="s">
        <v>1267</v>
      </c>
    </row>
    <row r="1033" spans="1:7" x14ac:dyDescent="0.2">
      <c r="A1033" s="40">
        <v>4642</v>
      </c>
      <c r="B1033" s="39" t="s">
        <v>303</v>
      </c>
      <c r="C1033" s="40" t="s">
        <v>520</v>
      </c>
      <c r="D1033" s="75" t="s">
        <v>1269</v>
      </c>
      <c r="E1033" s="75" t="s">
        <v>1266</v>
      </c>
      <c r="F1033" s="75" t="s">
        <v>1268</v>
      </c>
      <c r="G1033" s="75" t="s">
        <v>1268</v>
      </c>
    </row>
    <row r="1034" spans="1:7" x14ac:dyDescent="0.2">
      <c r="A1034" s="40">
        <v>4643</v>
      </c>
      <c r="B1034" s="39" t="s">
        <v>304</v>
      </c>
      <c r="C1034" s="40" t="s">
        <v>520</v>
      </c>
      <c r="D1034" s="75" t="s">
        <v>1269</v>
      </c>
      <c r="E1034" s="75" t="s">
        <v>1266</v>
      </c>
      <c r="F1034" s="75" t="s">
        <v>1268</v>
      </c>
      <c r="G1034" s="75" t="s">
        <v>1268</v>
      </c>
    </row>
    <row r="1035" spans="1:7" x14ac:dyDescent="0.2">
      <c r="A1035" s="40">
        <v>4644</v>
      </c>
      <c r="B1035" s="39" t="s">
        <v>305</v>
      </c>
      <c r="C1035" s="40" t="s">
        <v>520</v>
      </c>
      <c r="D1035" s="75" t="s">
        <v>1269</v>
      </c>
      <c r="E1035" s="75" t="s">
        <v>1266</v>
      </c>
      <c r="F1035" s="75" t="s">
        <v>1268</v>
      </c>
      <c r="G1035" s="75" t="s">
        <v>1268</v>
      </c>
    </row>
    <row r="1036" spans="1:7" x14ac:dyDescent="0.2">
      <c r="A1036" s="40">
        <v>4645</v>
      </c>
      <c r="B1036" s="39" t="s">
        <v>306</v>
      </c>
      <c r="C1036" s="40" t="s">
        <v>520</v>
      </c>
      <c r="D1036" s="75" t="s">
        <v>1269</v>
      </c>
      <c r="E1036" s="75" t="s">
        <v>1266</v>
      </c>
      <c r="F1036" s="75" t="s">
        <v>1268</v>
      </c>
      <c r="G1036" s="75" t="s">
        <v>1267</v>
      </c>
    </row>
    <row r="1037" spans="1:7" x14ac:dyDescent="0.2">
      <c r="A1037" s="40">
        <v>4650</v>
      </c>
      <c r="B1037" s="39" t="s">
        <v>307</v>
      </c>
      <c r="C1037" s="40" t="s">
        <v>520</v>
      </c>
      <c r="D1037" s="75" t="s">
        <v>1269</v>
      </c>
      <c r="E1037" s="75" t="s">
        <v>1266</v>
      </c>
      <c r="F1037" s="75" t="s">
        <v>1268</v>
      </c>
      <c r="G1037" s="75" t="s">
        <v>1268</v>
      </c>
    </row>
    <row r="1038" spans="1:7" x14ac:dyDescent="0.2">
      <c r="A1038" s="40">
        <v>4651</v>
      </c>
      <c r="B1038" s="39" t="s">
        <v>308</v>
      </c>
      <c r="C1038" s="40" t="s">
        <v>520</v>
      </c>
      <c r="D1038" s="75" t="s">
        <v>1269</v>
      </c>
      <c r="E1038" s="75" t="s">
        <v>1266</v>
      </c>
      <c r="F1038" s="75" t="s">
        <v>1268</v>
      </c>
      <c r="G1038" s="75" t="s">
        <v>1268</v>
      </c>
    </row>
    <row r="1039" spans="1:7" x14ac:dyDescent="0.2">
      <c r="A1039" s="40">
        <v>4652</v>
      </c>
      <c r="B1039" s="39" t="s">
        <v>309</v>
      </c>
      <c r="C1039" s="40" t="s">
        <v>520</v>
      </c>
      <c r="D1039" s="75" t="s">
        <v>1269</v>
      </c>
      <c r="E1039" s="75" t="s">
        <v>1266</v>
      </c>
      <c r="F1039" s="75" t="s">
        <v>1268</v>
      </c>
      <c r="G1039" s="75" t="s">
        <v>1268</v>
      </c>
    </row>
    <row r="1040" spans="1:7" x14ac:dyDescent="0.2">
      <c r="A1040" s="40">
        <v>4653</v>
      </c>
      <c r="B1040" s="39" t="s">
        <v>310</v>
      </c>
      <c r="C1040" s="40" t="s">
        <v>520</v>
      </c>
      <c r="D1040" s="75" t="s">
        <v>1269</v>
      </c>
      <c r="E1040" s="75" t="s">
        <v>1266</v>
      </c>
      <c r="F1040" s="75" t="s">
        <v>1268</v>
      </c>
      <c r="G1040" s="75" t="s">
        <v>1267</v>
      </c>
    </row>
    <row r="1041" spans="1:7" x14ac:dyDescent="0.2">
      <c r="A1041" s="40">
        <v>4654</v>
      </c>
      <c r="B1041" s="39" t="s">
        <v>311</v>
      </c>
      <c r="C1041" s="40" t="s">
        <v>520</v>
      </c>
      <c r="D1041" s="75" t="s">
        <v>1269</v>
      </c>
      <c r="E1041" s="75" t="s">
        <v>1266</v>
      </c>
      <c r="F1041" s="75" t="s">
        <v>1268</v>
      </c>
      <c r="G1041" s="75" t="s">
        <v>1267</v>
      </c>
    </row>
    <row r="1042" spans="1:7" x14ac:dyDescent="0.2">
      <c r="A1042" s="40">
        <v>4655</v>
      </c>
      <c r="B1042" s="39" t="s">
        <v>312</v>
      </c>
      <c r="C1042" s="40" t="s">
        <v>520</v>
      </c>
      <c r="D1042" s="75" t="s">
        <v>1269</v>
      </c>
      <c r="E1042" s="75" t="s">
        <v>1266</v>
      </c>
      <c r="F1042" s="75" t="s">
        <v>1268</v>
      </c>
      <c r="G1042" s="75" t="s">
        <v>1268</v>
      </c>
    </row>
    <row r="1043" spans="1:7" x14ac:dyDescent="0.2">
      <c r="A1043" s="40">
        <v>4656</v>
      </c>
      <c r="B1043" s="39" t="s">
        <v>313</v>
      </c>
      <c r="C1043" s="40" t="s">
        <v>520</v>
      </c>
      <c r="D1043" s="75" t="s">
        <v>1269</v>
      </c>
      <c r="E1043" s="75" t="s">
        <v>1266</v>
      </c>
      <c r="F1043" s="75" t="s">
        <v>1268</v>
      </c>
      <c r="G1043" s="75" t="s">
        <v>1268</v>
      </c>
    </row>
    <row r="1044" spans="1:7" x14ac:dyDescent="0.2">
      <c r="A1044" s="40">
        <v>4661</v>
      </c>
      <c r="B1044" s="39" t="s">
        <v>314</v>
      </c>
      <c r="C1044" s="40" t="s">
        <v>520</v>
      </c>
      <c r="D1044" s="75" t="s">
        <v>1269</v>
      </c>
      <c r="E1044" s="75" t="s">
        <v>1266</v>
      </c>
      <c r="F1044" s="75" t="s">
        <v>1268</v>
      </c>
      <c r="G1044" s="75" t="s">
        <v>1268</v>
      </c>
    </row>
    <row r="1045" spans="1:7" x14ac:dyDescent="0.2">
      <c r="A1045" s="40">
        <v>4662</v>
      </c>
      <c r="B1045" s="39" t="s">
        <v>315</v>
      </c>
      <c r="C1045" s="40" t="s">
        <v>520</v>
      </c>
      <c r="D1045" s="75" t="s">
        <v>1269</v>
      </c>
      <c r="E1045" s="75" t="s">
        <v>1266</v>
      </c>
      <c r="F1045" s="75" t="s">
        <v>1268</v>
      </c>
      <c r="G1045" s="75" t="s">
        <v>1267</v>
      </c>
    </row>
    <row r="1046" spans="1:7" x14ac:dyDescent="0.2">
      <c r="A1046" s="40">
        <v>4663</v>
      </c>
      <c r="B1046" s="39" t="s">
        <v>316</v>
      </c>
      <c r="C1046" s="40" t="s">
        <v>520</v>
      </c>
      <c r="D1046" s="75" t="s">
        <v>1269</v>
      </c>
      <c r="E1046" s="75" t="s">
        <v>1266</v>
      </c>
      <c r="F1046" s="75" t="s">
        <v>1268</v>
      </c>
      <c r="G1046" s="75" t="s">
        <v>1268</v>
      </c>
    </row>
    <row r="1047" spans="1:7" x14ac:dyDescent="0.2">
      <c r="A1047" s="40">
        <v>4664</v>
      </c>
      <c r="B1047" s="39" t="s">
        <v>317</v>
      </c>
      <c r="C1047" s="40" t="s">
        <v>520</v>
      </c>
      <c r="D1047" s="75" t="s">
        <v>1269</v>
      </c>
      <c r="E1047" s="75" t="s">
        <v>1266</v>
      </c>
      <c r="F1047" s="75" t="s">
        <v>1268</v>
      </c>
      <c r="G1047" s="75" t="s">
        <v>1268</v>
      </c>
    </row>
    <row r="1048" spans="1:7" x14ac:dyDescent="0.2">
      <c r="A1048" s="40">
        <v>4671</v>
      </c>
      <c r="B1048" s="39" t="s">
        <v>318</v>
      </c>
      <c r="C1048" s="40" t="s">
        <v>520</v>
      </c>
      <c r="D1048" s="75" t="s">
        <v>1269</v>
      </c>
      <c r="E1048" s="75" t="s">
        <v>1266</v>
      </c>
      <c r="F1048" s="75" t="s">
        <v>1268</v>
      </c>
      <c r="G1048" s="75" t="s">
        <v>1267</v>
      </c>
    </row>
    <row r="1049" spans="1:7" x14ac:dyDescent="0.2">
      <c r="A1049" s="40">
        <v>4672</v>
      </c>
      <c r="B1049" s="39" t="s">
        <v>319</v>
      </c>
      <c r="C1049" s="40" t="s">
        <v>520</v>
      </c>
      <c r="D1049" s="75" t="s">
        <v>1269</v>
      </c>
      <c r="E1049" s="75" t="s">
        <v>1266</v>
      </c>
      <c r="F1049" s="75" t="s">
        <v>1268</v>
      </c>
      <c r="G1049" s="75" t="s">
        <v>1267</v>
      </c>
    </row>
    <row r="1050" spans="1:7" x14ac:dyDescent="0.2">
      <c r="A1050" s="40">
        <v>4673</v>
      </c>
      <c r="B1050" s="39" t="s">
        <v>320</v>
      </c>
      <c r="C1050" s="40" t="s">
        <v>520</v>
      </c>
      <c r="D1050" s="75" t="s">
        <v>1269</v>
      </c>
      <c r="E1050" s="75" t="s">
        <v>1266</v>
      </c>
      <c r="F1050" s="75" t="s">
        <v>1268</v>
      </c>
      <c r="G1050" s="75" t="s">
        <v>1268</v>
      </c>
    </row>
    <row r="1051" spans="1:7" x14ac:dyDescent="0.2">
      <c r="A1051" s="40">
        <v>4674</v>
      </c>
      <c r="B1051" s="39" t="s">
        <v>321</v>
      </c>
      <c r="C1051" s="40" t="s">
        <v>520</v>
      </c>
      <c r="D1051" s="75" t="s">
        <v>1269</v>
      </c>
      <c r="E1051" s="75" t="s">
        <v>1266</v>
      </c>
      <c r="F1051" s="75" t="s">
        <v>1268</v>
      </c>
      <c r="G1051" s="75" t="s">
        <v>1267</v>
      </c>
    </row>
    <row r="1052" spans="1:7" x14ac:dyDescent="0.2">
      <c r="A1052" s="40">
        <v>4675</v>
      </c>
      <c r="B1052" s="39" t="s">
        <v>322</v>
      </c>
      <c r="C1052" s="40" t="s">
        <v>520</v>
      </c>
      <c r="D1052" s="75" t="s">
        <v>1269</v>
      </c>
      <c r="E1052" s="75" t="s">
        <v>1266</v>
      </c>
      <c r="F1052" s="75" t="s">
        <v>1268</v>
      </c>
      <c r="G1052" s="75" t="s">
        <v>1268</v>
      </c>
    </row>
    <row r="1053" spans="1:7" x14ac:dyDescent="0.2">
      <c r="A1053" s="40">
        <v>4676</v>
      </c>
      <c r="B1053" s="39" t="s">
        <v>323</v>
      </c>
      <c r="C1053" s="40" t="s">
        <v>520</v>
      </c>
      <c r="D1053" s="75" t="s">
        <v>1269</v>
      </c>
      <c r="E1053" s="75" t="s">
        <v>1266</v>
      </c>
      <c r="F1053" s="75" t="s">
        <v>1268</v>
      </c>
      <c r="G1053" s="75" t="s">
        <v>1267</v>
      </c>
    </row>
    <row r="1054" spans="1:7" x14ac:dyDescent="0.2">
      <c r="A1054" s="40">
        <v>4680</v>
      </c>
      <c r="B1054" s="39" t="s">
        <v>324</v>
      </c>
      <c r="C1054" s="40" t="s">
        <v>520</v>
      </c>
      <c r="D1054" s="75" t="s">
        <v>1269</v>
      </c>
      <c r="E1054" s="75" t="s">
        <v>1266</v>
      </c>
      <c r="F1054" s="75" t="s">
        <v>1268</v>
      </c>
      <c r="G1054" s="75" t="s">
        <v>1268</v>
      </c>
    </row>
    <row r="1055" spans="1:7" x14ac:dyDescent="0.2">
      <c r="A1055" s="40">
        <v>4681</v>
      </c>
      <c r="B1055" s="39" t="s">
        <v>325</v>
      </c>
      <c r="C1055" s="40" t="s">
        <v>520</v>
      </c>
      <c r="D1055" s="75" t="s">
        <v>1269</v>
      </c>
      <c r="E1055" s="75" t="s">
        <v>1266</v>
      </c>
      <c r="F1055" s="75" t="s">
        <v>1268</v>
      </c>
      <c r="G1055" s="75" t="s">
        <v>1267</v>
      </c>
    </row>
    <row r="1056" spans="1:7" x14ac:dyDescent="0.2">
      <c r="A1056" s="40">
        <v>4682</v>
      </c>
      <c r="B1056" s="39" t="s">
        <v>326</v>
      </c>
      <c r="C1056" s="40" t="s">
        <v>520</v>
      </c>
      <c r="D1056" s="75" t="s">
        <v>1269</v>
      </c>
      <c r="E1056" s="75" t="s">
        <v>1266</v>
      </c>
      <c r="F1056" s="75" t="s">
        <v>1268</v>
      </c>
      <c r="G1056" s="75" t="s">
        <v>1267</v>
      </c>
    </row>
    <row r="1057" spans="1:7" x14ac:dyDescent="0.2">
      <c r="A1057" s="40">
        <v>4690</v>
      </c>
      <c r="B1057" s="39" t="s">
        <v>327</v>
      </c>
      <c r="C1057" s="40" t="s">
        <v>520</v>
      </c>
      <c r="D1057" s="75" t="s">
        <v>1269</v>
      </c>
      <c r="E1057" s="75" t="s">
        <v>1266</v>
      </c>
      <c r="F1057" s="75" t="s">
        <v>1268</v>
      </c>
      <c r="G1057" s="75" t="s">
        <v>1268</v>
      </c>
    </row>
    <row r="1058" spans="1:7" x14ac:dyDescent="0.2">
      <c r="A1058" s="40">
        <v>4691</v>
      </c>
      <c r="B1058" s="39" t="s">
        <v>328</v>
      </c>
      <c r="C1058" s="40" t="s">
        <v>520</v>
      </c>
      <c r="D1058" s="75" t="s">
        <v>1269</v>
      </c>
      <c r="E1058" s="75" t="s">
        <v>1266</v>
      </c>
      <c r="F1058" s="75" t="s">
        <v>1268</v>
      </c>
      <c r="G1058" s="75" t="s">
        <v>1267</v>
      </c>
    </row>
    <row r="1059" spans="1:7" x14ac:dyDescent="0.2">
      <c r="A1059" s="40">
        <v>4692</v>
      </c>
      <c r="B1059" s="39" t="s">
        <v>329</v>
      </c>
      <c r="C1059" s="40" t="s">
        <v>520</v>
      </c>
      <c r="D1059" s="75" t="s">
        <v>1269</v>
      </c>
      <c r="E1059" s="75" t="s">
        <v>1266</v>
      </c>
      <c r="F1059" s="75" t="s">
        <v>1268</v>
      </c>
      <c r="G1059" s="75" t="s">
        <v>1267</v>
      </c>
    </row>
    <row r="1060" spans="1:7" x14ac:dyDescent="0.2">
      <c r="A1060" s="40">
        <v>4693</v>
      </c>
      <c r="B1060" s="39" t="s">
        <v>330</v>
      </c>
      <c r="C1060" s="40" t="s">
        <v>520</v>
      </c>
      <c r="D1060" s="75" t="s">
        <v>1269</v>
      </c>
      <c r="E1060" s="75" t="s">
        <v>1266</v>
      </c>
      <c r="F1060" s="75" t="s">
        <v>1268</v>
      </c>
      <c r="G1060" s="75" t="s">
        <v>1267</v>
      </c>
    </row>
    <row r="1061" spans="1:7" x14ac:dyDescent="0.2">
      <c r="A1061" s="40">
        <v>4694</v>
      </c>
      <c r="B1061" s="39" t="s">
        <v>331</v>
      </c>
      <c r="C1061" s="40" t="s">
        <v>520</v>
      </c>
      <c r="D1061" s="75" t="s">
        <v>1269</v>
      </c>
      <c r="E1061" s="75" t="s">
        <v>1266</v>
      </c>
      <c r="F1061" s="75" t="s">
        <v>1268</v>
      </c>
      <c r="G1061" s="75" t="s">
        <v>1268</v>
      </c>
    </row>
    <row r="1062" spans="1:7" x14ac:dyDescent="0.2">
      <c r="A1062" s="40">
        <v>4701</v>
      </c>
      <c r="B1062" s="39" t="s">
        <v>332</v>
      </c>
      <c r="C1062" s="40" t="s">
        <v>520</v>
      </c>
      <c r="D1062" s="75" t="s">
        <v>1269</v>
      </c>
      <c r="E1062" s="75" t="s">
        <v>1266</v>
      </c>
      <c r="F1062" s="75" t="s">
        <v>1268</v>
      </c>
      <c r="G1062" s="75" t="s">
        <v>1268</v>
      </c>
    </row>
    <row r="1063" spans="1:7" x14ac:dyDescent="0.2">
      <c r="A1063" s="40">
        <v>4702</v>
      </c>
      <c r="B1063" s="39" t="s">
        <v>333</v>
      </c>
      <c r="C1063" s="40" t="s">
        <v>520</v>
      </c>
      <c r="D1063" s="75" t="s">
        <v>1269</v>
      </c>
      <c r="E1063" s="75" t="s">
        <v>1266</v>
      </c>
      <c r="F1063" s="75" t="s">
        <v>1268</v>
      </c>
      <c r="G1063" s="75" t="s">
        <v>1267</v>
      </c>
    </row>
    <row r="1064" spans="1:7" x14ac:dyDescent="0.2">
      <c r="A1064" s="40">
        <v>4707</v>
      </c>
      <c r="B1064" s="39" t="s">
        <v>334</v>
      </c>
      <c r="C1064" s="40" t="s">
        <v>520</v>
      </c>
      <c r="D1064" s="75" t="s">
        <v>1269</v>
      </c>
      <c r="E1064" s="75" t="s">
        <v>1266</v>
      </c>
      <c r="F1064" s="75" t="s">
        <v>1268</v>
      </c>
      <c r="G1064" s="75" t="s">
        <v>1267</v>
      </c>
    </row>
    <row r="1065" spans="1:7" x14ac:dyDescent="0.2">
      <c r="A1065" s="40">
        <v>4710</v>
      </c>
      <c r="B1065" s="39" t="s">
        <v>335</v>
      </c>
      <c r="C1065" s="40" t="s">
        <v>520</v>
      </c>
      <c r="D1065" s="75" t="s">
        <v>1269</v>
      </c>
      <c r="E1065" s="75" t="s">
        <v>1266</v>
      </c>
      <c r="F1065" s="75" t="s">
        <v>1268</v>
      </c>
      <c r="G1065" s="75" t="s">
        <v>1268</v>
      </c>
    </row>
    <row r="1066" spans="1:7" x14ac:dyDescent="0.2">
      <c r="A1066" s="40">
        <v>4712</v>
      </c>
      <c r="B1066" s="39" t="s">
        <v>336</v>
      </c>
      <c r="C1066" s="40" t="s">
        <v>520</v>
      </c>
      <c r="D1066" s="75" t="s">
        <v>1269</v>
      </c>
      <c r="E1066" s="75" t="s">
        <v>1266</v>
      </c>
      <c r="F1066" s="75" t="s">
        <v>1268</v>
      </c>
      <c r="G1066" s="75" t="s">
        <v>1267</v>
      </c>
    </row>
    <row r="1067" spans="1:7" x14ac:dyDescent="0.2">
      <c r="A1067" s="40">
        <v>4713</v>
      </c>
      <c r="B1067" s="39" t="s">
        <v>337</v>
      </c>
      <c r="C1067" s="40" t="s">
        <v>520</v>
      </c>
      <c r="D1067" s="75" t="s">
        <v>1269</v>
      </c>
      <c r="E1067" s="75" t="s">
        <v>1266</v>
      </c>
      <c r="F1067" s="75" t="s">
        <v>1268</v>
      </c>
      <c r="G1067" s="75" t="s">
        <v>1268</v>
      </c>
    </row>
    <row r="1068" spans="1:7" x14ac:dyDescent="0.2">
      <c r="A1068" s="40">
        <v>4714</v>
      </c>
      <c r="B1068" s="39" t="s">
        <v>338</v>
      </c>
      <c r="C1068" s="40" t="s">
        <v>520</v>
      </c>
      <c r="D1068" s="75" t="s">
        <v>1269</v>
      </c>
      <c r="E1068" s="75" t="s">
        <v>1266</v>
      </c>
      <c r="F1068" s="75" t="s">
        <v>1268</v>
      </c>
      <c r="G1068" s="75" t="s">
        <v>1267</v>
      </c>
    </row>
    <row r="1069" spans="1:7" x14ac:dyDescent="0.2">
      <c r="A1069" s="40">
        <v>4715</v>
      </c>
      <c r="B1069" s="39" t="s">
        <v>339</v>
      </c>
      <c r="C1069" s="40" t="s">
        <v>520</v>
      </c>
      <c r="D1069" s="75" t="s">
        <v>1269</v>
      </c>
      <c r="E1069" s="75" t="s">
        <v>1266</v>
      </c>
      <c r="F1069" s="75" t="s">
        <v>1268</v>
      </c>
      <c r="G1069" s="75" t="s">
        <v>1267</v>
      </c>
    </row>
    <row r="1070" spans="1:7" x14ac:dyDescent="0.2">
      <c r="A1070" s="40">
        <v>4716</v>
      </c>
      <c r="B1070" s="39" t="s">
        <v>340</v>
      </c>
      <c r="C1070" s="40" t="s">
        <v>520</v>
      </c>
      <c r="D1070" s="75" t="s">
        <v>1269</v>
      </c>
      <c r="E1070" s="75" t="s">
        <v>1266</v>
      </c>
      <c r="F1070" s="75" t="s">
        <v>1268</v>
      </c>
      <c r="G1070" s="75" t="s">
        <v>1267</v>
      </c>
    </row>
    <row r="1071" spans="1:7" x14ac:dyDescent="0.2">
      <c r="A1071" s="40">
        <v>4720</v>
      </c>
      <c r="B1071" s="39" t="s">
        <v>341</v>
      </c>
      <c r="C1071" s="40" t="s">
        <v>520</v>
      </c>
      <c r="D1071" s="75" t="s">
        <v>1269</v>
      </c>
      <c r="E1071" s="75" t="s">
        <v>1266</v>
      </c>
      <c r="F1071" s="75" t="s">
        <v>1268</v>
      </c>
      <c r="G1071" s="75" t="s">
        <v>1268</v>
      </c>
    </row>
    <row r="1072" spans="1:7" x14ac:dyDescent="0.2">
      <c r="A1072" s="40">
        <v>4721</v>
      </c>
      <c r="B1072" s="39" t="s">
        <v>342</v>
      </c>
      <c r="C1072" s="40" t="s">
        <v>520</v>
      </c>
      <c r="D1072" s="75" t="s">
        <v>1269</v>
      </c>
      <c r="E1072" s="75" t="s">
        <v>1266</v>
      </c>
      <c r="F1072" s="75" t="s">
        <v>1268</v>
      </c>
      <c r="G1072" s="75" t="s">
        <v>1267</v>
      </c>
    </row>
    <row r="1073" spans="1:7" x14ac:dyDescent="0.2">
      <c r="A1073" s="40">
        <v>4722</v>
      </c>
      <c r="B1073" s="39" t="s">
        <v>343</v>
      </c>
      <c r="C1073" s="40" t="s">
        <v>520</v>
      </c>
      <c r="D1073" s="75" t="s">
        <v>1269</v>
      </c>
      <c r="E1073" s="75" t="s">
        <v>1266</v>
      </c>
      <c r="F1073" s="75" t="s">
        <v>1268</v>
      </c>
      <c r="G1073" s="75" t="s">
        <v>1268</v>
      </c>
    </row>
    <row r="1074" spans="1:7" x14ac:dyDescent="0.2">
      <c r="A1074" s="40">
        <v>4723</v>
      </c>
      <c r="B1074" s="39" t="s">
        <v>344</v>
      </c>
      <c r="C1074" s="40" t="s">
        <v>520</v>
      </c>
      <c r="D1074" s="75" t="s">
        <v>1269</v>
      </c>
      <c r="E1074" s="75" t="s">
        <v>1266</v>
      </c>
      <c r="F1074" s="75" t="s">
        <v>1268</v>
      </c>
      <c r="G1074" s="75" t="s">
        <v>1267</v>
      </c>
    </row>
    <row r="1075" spans="1:7" x14ac:dyDescent="0.2">
      <c r="A1075" s="40">
        <v>4724</v>
      </c>
      <c r="B1075" s="39" t="s">
        <v>345</v>
      </c>
      <c r="C1075" s="40" t="s">
        <v>520</v>
      </c>
      <c r="D1075" s="75" t="s">
        <v>1269</v>
      </c>
      <c r="E1075" s="75" t="s">
        <v>1266</v>
      </c>
      <c r="F1075" s="75" t="s">
        <v>1268</v>
      </c>
      <c r="G1075" s="75" t="s">
        <v>1268</v>
      </c>
    </row>
    <row r="1076" spans="1:7" x14ac:dyDescent="0.2">
      <c r="A1076" s="40">
        <v>4725</v>
      </c>
      <c r="B1076" s="39" t="s">
        <v>346</v>
      </c>
      <c r="C1076" s="40" t="s">
        <v>520</v>
      </c>
      <c r="D1076" s="75" t="s">
        <v>1269</v>
      </c>
      <c r="E1076" s="75" t="s">
        <v>1266</v>
      </c>
      <c r="F1076" s="75" t="s">
        <v>1268</v>
      </c>
      <c r="G1076" s="75" t="s">
        <v>1267</v>
      </c>
    </row>
    <row r="1077" spans="1:7" x14ac:dyDescent="0.2">
      <c r="A1077" s="40">
        <v>4730</v>
      </c>
      <c r="B1077" s="39" t="s">
        <v>347</v>
      </c>
      <c r="C1077" s="40" t="s">
        <v>520</v>
      </c>
      <c r="D1077" s="75" t="s">
        <v>1269</v>
      </c>
      <c r="E1077" s="75" t="s">
        <v>1266</v>
      </c>
      <c r="F1077" s="75" t="s">
        <v>1268</v>
      </c>
      <c r="G1077" s="75" t="s">
        <v>1268</v>
      </c>
    </row>
    <row r="1078" spans="1:7" x14ac:dyDescent="0.2">
      <c r="A1078" s="40">
        <v>4731</v>
      </c>
      <c r="B1078" s="39" t="s">
        <v>348</v>
      </c>
      <c r="C1078" s="40" t="s">
        <v>520</v>
      </c>
      <c r="D1078" s="75" t="s">
        <v>1269</v>
      </c>
      <c r="E1078" s="75" t="s">
        <v>1266</v>
      </c>
      <c r="F1078" s="75" t="s">
        <v>1268</v>
      </c>
      <c r="G1078" s="75" t="s">
        <v>1268</v>
      </c>
    </row>
    <row r="1079" spans="1:7" x14ac:dyDescent="0.2">
      <c r="A1079" s="40">
        <v>4732</v>
      </c>
      <c r="B1079" s="39" t="s">
        <v>1719</v>
      </c>
      <c r="C1079" s="40" t="s">
        <v>520</v>
      </c>
      <c r="D1079" s="75" t="s">
        <v>1269</v>
      </c>
      <c r="E1079" s="75" t="s">
        <v>1266</v>
      </c>
      <c r="F1079" s="75" t="s">
        <v>1268</v>
      </c>
      <c r="G1079" s="75" t="s">
        <v>1267</v>
      </c>
    </row>
    <row r="1080" spans="1:7" x14ac:dyDescent="0.2">
      <c r="A1080" s="40">
        <v>4733</v>
      </c>
      <c r="B1080" s="39" t="s">
        <v>349</v>
      </c>
      <c r="C1080" s="40" t="s">
        <v>520</v>
      </c>
      <c r="D1080" s="75" t="s">
        <v>1269</v>
      </c>
      <c r="E1080" s="75" t="s">
        <v>1266</v>
      </c>
      <c r="F1080" s="75" t="s">
        <v>1268</v>
      </c>
      <c r="G1080" s="75" t="s">
        <v>1267</v>
      </c>
    </row>
    <row r="1081" spans="1:7" x14ac:dyDescent="0.2">
      <c r="A1081" s="40">
        <v>4741</v>
      </c>
      <c r="B1081" s="39" t="s">
        <v>350</v>
      </c>
      <c r="C1081" s="40" t="s">
        <v>520</v>
      </c>
      <c r="D1081" s="75" t="s">
        <v>1269</v>
      </c>
      <c r="E1081" s="75" t="s">
        <v>1266</v>
      </c>
      <c r="F1081" s="75" t="s">
        <v>1268</v>
      </c>
      <c r="G1081" s="75" t="s">
        <v>1267</v>
      </c>
    </row>
    <row r="1082" spans="1:7" x14ac:dyDescent="0.2">
      <c r="A1082" s="40">
        <v>4742</v>
      </c>
      <c r="B1082" s="39" t="s">
        <v>351</v>
      </c>
      <c r="C1082" s="40" t="s">
        <v>520</v>
      </c>
      <c r="D1082" s="75" t="s">
        <v>1269</v>
      </c>
      <c r="E1082" s="75" t="s">
        <v>1266</v>
      </c>
      <c r="F1082" s="75" t="s">
        <v>1268</v>
      </c>
      <c r="G1082" s="75" t="s">
        <v>1267</v>
      </c>
    </row>
    <row r="1083" spans="1:7" x14ac:dyDescent="0.2">
      <c r="A1083" s="40">
        <v>4743</v>
      </c>
      <c r="B1083" s="39" t="s">
        <v>352</v>
      </c>
      <c r="C1083" s="40" t="s">
        <v>520</v>
      </c>
      <c r="D1083" s="75" t="s">
        <v>1269</v>
      </c>
      <c r="E1083" s="75" t="s">
        <v>1266</v>
      </c>
      <c r="F1083" s="75" t="s">
        <v>1268</v>
      </c>
      <c r="G1083" s="75" t="s">
        <v>1267</v>
      </c>
    </row>
    <row r="1084" spans="1:7" x14ac:dyDescent="0.2">
      <c r="A1084" s="40">
        <v>4751</v>
      </c>
      <c r="B1084" s="39" t="s">
        <v>353</v>
      </c>
      <c r="C1084" s="40" t="s">
        <v>520</v>
      </c>
      <c r="D1084" s="75" t="s">
        <v>1269</v>
      </c>
      <c r="E1084" s="75" t="s">
        <v>1266</v>
      </c>
      <c r="F1084" s="75" t="s">
        <v>1268</v>
      </c>
      <c r="G1084" s="75" t="s">
        <v>1267</v>
      </c>
    </row>
    <row r="1085" spans="1:7" x14ac:dyDescent="0.2">
      <c r="A1085" s="40">
        <v>4752</v>
      </c>
      <c r="B1085" s="39" t="s">
        <v>354</v>
      </c>
      <c r="C1085" s="40" t="s">
        <v>520</v>
      </c>
      <c r="D1085" s="75" t="s">
        <v>1269</v>
      </c>
      <c r="E1085" s="75" t="s">
        <v>1266</v>
      </c>
      <c r="F1085" s="75" t="s">
        <v>1268</v>
      </c>
      <c r="G1085" s="75" t="s">
        <v>1268</v>
      </c>
    </row>
    <row r="1086" spans="1:7" x14ac:dyDescent="0.2">
      <c r="A1086" s="40">
        <v>4753</v>
      </c>
      <c r="B1086" s="39" t="s">
        <v>355</v>
      </c>
      <c r="C1086" s="40" t="s">
        <v>520</v>
      </c>
      <c r="D1086" s="75" t="s">
        <v>1269</v>
      </c>
      <c r="E1086" s="75" t="s">
        <v>1266</v>
      </c>
      <c r="F1086" s="75" t="s">
        <v>1268</v>
      </c>
      <c r="G1086" s="75" t="s">
        <v>1268</v>
      </c>
    </row>
    <row r="1087" spans="1:7" x14ac:dyDescent="0.2">
      <c r="A1087" s="40">
        <v>4754</v>
      </c>
      <c r="B1087" s="39" t="s">
        <v>356</v>
      </c>
      <c r="C1087" s="40" t="s">
        <v>520</v>
      </c>
      <c r="D1087" s="75" t="s">
        <v>1269</v>
      </c>
      <c r="E1087" s="75" t="s">
        <v>1266</v>
      </c>
      <c r="F1087" s="75" t="s">
        <v>1268</v>
      </c>
      <c r="G1087" s="75" t="s">
        <v>1267</v>
      </c>
    </row>
    <row r="1088" spans="1:7" x14ac:dyDescent="0.2">
      <c r="A1088" s="40">
        <v>4755</v>
      </c>
      <c r="B1088" s="39" t="s">
        <v>357</v>
      </c>
      <c r="C1088" s="40" t="s">
        <v>520</v>
      </c>
      <c r="D1088" s="75" t="s">
        <v>1269</v>
      </c>
      <c r="E1088" s="75" t="s">
        <v>1266</v>
      </c>
      <c r="F1088" s="75" t="s">
        <v>1268</v>
      </c>
      <c r="G1088" s="75" t="s">
        <v>1267</v>
      </c>
    </row>
    <row r="1089" spans="1:7" x14ac:dyDescent="0.2">
      <c r="A1089" s="40">
        <v>4760</v>
      </c>
      <c r="B1089" s="39" t="s">
        <v>358</v>
      </c>
      <c r="C1089" s="40" t="s">
        <v>520</v>
      </c>
      <c r="D1089" s="75" t="s">
        <v>1269</v>
      </c>
      <c r="E1089" s="75" t="s">
        <v>1266</v>
      </c>
      <c r="F1089" s="75" t="s">
        <v>1268</v>
      </c>
      <c r="G1089" s="75" t="s">
        <v>1268</v>
      </c>
    </row>
    <row r="1090" spans="1:7" x14ac:dyDescent="0.2">
      <c r="A1090" s="40">
        <v>4761</v>
      </c>
      <c r="B1090" s="39" t="s">
        <v>359</v>
      </c>
      <c r="C1090" s="40" t="s">
        <v>520</v>
      </c>
      <c r="D1090" s="75" t="s">
        <v>1269</v>
      </c>
      <c r="E1090" s="75" t="s">
        <v>1266</v>
      </c>
      <c r="F1090" s="75" t="s">
        <v>1268</v>
      </c>
      <c r="G1090" s="75" t="s">
        <v>1267</v>
      </c>
    </row>
    <row r="1091" spans="1:7" x14ac:dyDescent="0.2">
      <c r="A1091" s="40">
        <v>4762</v>
      </c>
      <c r="B1091" s="39" t="s">
        <v>360</v>
      </c>
      <c r="C1091" s="40" t="s">
        <v>520</v>
      </c>
      <c r="D1091" s="75" t="s">
        <v>1269</v>
      </c>
      <c r="E1091" s="75" t="s">
        <v>1266</v>
      </c>
      <c r="F1091" s="75" t="s">
        <v>1268</v>
      </c>
      <c r="G1091" s="75" t="s">
        <v>1267</v>
      </c>
    </row>
    <row r="1092" spans="1:7" x14ac:dyDescent="0.2">
      <c r="A1092" s="40">
        <v>4770</v>
      </c>
      <c r="B1092" s="39" t="s">
        <v>361</v>
      </c>
      <c r="C1092" s="40" t="s">
        <v>520</v>
      </c>
      <c r="D1092" s="75" t="s">
        <v>1269</v>
      </c>
      <c r="E1092" s="75" t="s">
        <v>1266</v>
      </c>
      <c r="F1092" s="75" t="s">
        <v>1268</v>
      </c>
      <c r="G1092" s="75" t="s">
        <v>1268</v>
      </c>
    </row>
    <row r="1093" spans="1:7" x14ac:dyDescent="0.2">
      <c r="A1093" s="40">
        <v>4771</v>
      </c>
      <c r="B1093" s="39" t="s">
        <v>362</v>
      </c>
      <c r="C1093" s="40" t="s">
        <v>520</v>
      </c>
      <c r="D1093" s="75" t="s">
        <v>1269</v>
      </c>
      <c r="E1093" s="75" t="s">
        <v>1266</v>
      </c>
      <c r="F1093" s="75" t="s">
        <v>1268</v>
      </c>
      <c r="G1093" s="75" t="s">
        <v>1267</v>
      </c>
    </row>
    <row r="1094" spans="1:7" x14ac:dyDescent="0.2">
      <c r="A1094" s="40">
        <v>4772</v>
      </c>
      <c r="B1094" s="39" t="s">
        <v>363</v>
      </c>
      <c r="C1094" s="40" t="s">
        <v>520</v>
      </c>
      <c r="D1094" s="75" t="s">
        <v>1269</v>
      </c>
      <c r="E1094" s="75" t="s">
        <v>1266</v>
      </c>
      <c r="F1094" s="75" t="s">
        <v>1268</v>
      </c>
      <c r="G1094" s="75" t="s">
        <v>1267</v>
      </c>
    </row>
    <row r="1095" spans="1:7" x14ac:dyDescent="0.2">
      <c r="A1095" s="40">
        <v>4773</v>
      </c>
      <c r="B1095" s="39" t="s">
        <v>364</v>
      </c>
      <c r="C1095" s="40" t="s">
        <v>520</v>
      </c>
      <c r="D1095" s="75" t="s">
        <v>1269</v>
      </c>
      <c r="E1095" s="75" t="s">
        <v>1266</v>
      </c>
      <c r="F1095" s="75" t="s">
        <v>1268</v>
      </c>
      <c r="G1095" s="75" t="s">
        <v>1267</v>
      </c>
    </row>
    <row r="1096" spans="1:7" x14ac:dyDescent="0.2">
      <c r="A1096" s="40">
        <v>4774</v>
      </c>
      <c r="B1096" s="39" t="s">
        <v>365</v>
      </c>
      <c r="C1096" s="40" t="s">
        <v>520</v>
      </c>
      <c r="D1096" s="75" t="s">
        <v>1269</v>
      </c>
      <c r="E1096" s="75" t="s">
        <v>1266</v>
      </c>
      <c r="F1096" s="75" t="s">
        <v>1268</v>
      </c>
      <c r="G1096" s="75" t="s">
        <v>1267</v>
      </c>
    </row>
    <row r="1097" spans="1:7" x14ac:dyDescent="0.2">
      <c r="A1097" s="40">
        <v>4775</v>
      </c>
      <c r="B1097" s="39" t="s">
        <v>366</v>
      </c>
      <c r="C1097" s="40" t="s">
        <v>520</v>
      </c>
      <c r="D1097" s="75" t="s">
        <v>1269</v>
      </c>
      <c r="E1097" s="75" t="s">
        <v>1266</v>
      </c>
      <c r="F1097" s="75" t="s">
        <v>1268</v>
      </c>
      <c r="G1097" s="75" t="s">
        <v>1268</v>
      </c>
    </row>
    <row r="1098" spans="1:7" x14ac:dyDescent="0.2">
      <c r="A1098" s="40">
        <v>4776</v>
      </c>
      <c r="B1098" s="39" t="s">
        <v>367</v>
      </c>
      <c r="C1098" s="40" t="s">
        <v>520</v>
      </c>
      <c r="D1098" s="75" t="s">
        <v>1269</v>
      </c>
      <c r="E1098" s="75" t="s">
        <v>1266</v>
      </c>
      <c r="F1098" s="75" t="s">
        <v>1268</v>
      </c>
      <c r="G1098" s="75" t="s">
        <v>1267</v>
      </c>
    </row>
    <row r="1099" spans="1:7" x14ac:dyDescent="0.2">
      <c r="A1099" s="40">
        <v>4777</v>
      </c>
      <c r="B1099" s="39" t="s">
        <v>368</v>
      </c>
      <c r="C1099" s="40" t="s">
        <v>520</v>
      </c>
      <c r="D1099" s="75" t="s">
        <v>1269</v>
      </c>
      <c r="E1099" s="75" t="s">
        <v>1266</v>
      </c>
      <c r="F1099" s="75" t="s">
        <v>1268</v>
      </c>
      <c r="G1099" s="75" t="s">
        <v>1267</v>
      </c>
    </row>
    <row r="1100" spans="1:7" x14ac:dyDescent="0.2">
      <c r="A1100" s="40">
        <v>4780</v>
      </c>
      <c r="B1100" s="39" t="s">
        <v>369</v>
      </c>
      <c r="C1100" s="40" t="s">
        <v>520</v>
      </c>
      <c r="D1100" s="75" t="s">
        <v>1269</v>
      </c>
      <c r="E1100" s="75" t="s">
        <v>1266</v>
      </c>
      <c r="F1100" s="75" t="s">
        <v>1268</v>
      </c>
      <c r="G1100" s="75" t="s">
        <v>1268</v>
      </c>
    </row>
    <row r="1101" spans="1:7" x14ac:dyDescent="0.2">
      <c r="A1101" s="40">
        <v>4782</v>
      </c>
      <c r="B1101" s="39" t="s">
        <v>370</v>
      </c>
      <c r="C1101" s="40" t="s">
        <v>520</v>
      </c>
      <c r="D1101" s="75" t="s">
        <v>1269</v>
      </c>
      <c r="E1101" s="75" t="s">
        <v>1266</v>
      </c>
      <c r="F1101" s="75" t="s">
        <v>1268</v>
      </c>
      <c r="G1101" s="75" t="s">
        <v>1267</v>
      </c>
    </row>
    <row r="1102" spans="1:7" x14ac:dyDescent="0.2">
      <c r="A1102" s="40">
        <v>4783</v>
      </c>
      <c r="B1102" s="39" t="s">
        <v>371</v>
      </c>
      <c r="C1102" s="40" t="s">
        <v>520</v>
      </c>
      <c r="D1102" s="75" t="s">
        <v>1269</v>
      </c>
      <c r="E1102" s="75" t="s">
        <v>1266</v>
      </c>
      <c r="F1102" s="75" t="s">
        <v>1268</v>
      </c>
      <c r="G1102" s="75" t="s">
        <v>1267</v>
      </c>
    </row>
    <row r="1103" spans="1:7" x14ac:dyDescent="0.2">
      <c r="A1103" s="40">
        <v>4784</v>
      </c>
      <c r="B1103" s="39" t="s">
        <v>372</v>
      </c>
      <c r="C1103" s="40" t="s">
        <v>520</v>
      </c>
      <c r="D1103" s="75" t="s">
        <v>1269</v>
      </c>
      <c r="E1103" s="75" t="s">
        <v>1266</v>
      </c>
      <c r="F1103" s="75" t="s">
        <v>1268</v>
      </c>
      <c r="G1103" s="75" t="s">
        <v>1268</v>
      </c>
    </row>
    <row r="1104" spans="1:7" x14ac:dyDescent="0.2">
      <c r="A1104" s="40">
        <v>4785</v>
      </c>
      <c r="B1104" s="39" t="s">
        <v>373</v>
      </c>
      <c r="C1104" s="40" t="s">
        <v>520</v>
      </c>
      <c r="D1104" s="75" t="s">
        <v>1269</v>
      </c>
      <c r="E1104" s="75" t="s">
        <v>1266</v>
      </c>
      <c r="F1104" s="75" t="s">
        <v>1268</v>
      </c>
      <c r="G1104" s="75" t="s">
        <v>1267</v>
      </c>
    </row>
    <row r="1105" spans="1:7" x14ac:dyDescent="0.2">
      <c r="A1105" s="40">
        <v>4786</v>
      </c>
      <c r="B1105" s="39" t="s">
        <v>374</v>
      </c>
      <c r="C1105" s="40" t="s">
        <v>520</v>
      </c>
      <c r="D1105" s="75" t="s">
        <v>1269</v>
      </c>
      <c r="E1105" s="75" t="s">
        <v>1266</v>
      </c>
      <c r="F1105" s="75" t="s">
        <v>1268</v>
      </c>
      <c r="G1105" s="75" t="s">
        <v>1267</v>
      </c>
    </row>
    <row r="1106" spans="1:7" x14ac:dyDescent="0.2">
      <c r="A1106" s="40">
        <v>4791</v>
      </c>
      <c r="B1106" s="39" t="s">
        <v>375</v>
      </c>
      <c r="C1106" s="40" t="s">
        <v>520</v>
      </c>
      <c r="D1106" s="75" t="s">
        <v>1269</v>
      </c>
      <c r="E1106" s="75" t="s">
        <v>1266</v>
      </c>
      <c r="F1106" s="75" t="s">
        <v>1268</v>
      </c>
      <c r="G1106" s="75" t="s">
        <v>1268</v>
      </c>
    </row>
    <row r="1107" spans="1:7" x14ac:dyDescent="0.2">
      <c r="A1107" s="40">
        <v>4792</v>
      </c>
      <c r="B1107" s="39" t="s">
        <v>376</v>
      </c>
      <c r="C1107" s="40" t="s">
        <v>520</v>
      </c>
      <c r="D1107" s="75" t="s">
        <v>1269</v>
      </c>
      <c r="E1107" s="75" t="s">
        <v>1266</v>
      </c>
      <c r="F1107" s="75" t="s">
        <v>1268</v>
      </c>
      <c r="G1107" s="75" t="s">
        <v>1268</v>
      </c>
    </row>
    <row r="1108" spans="1:7" x14ac:dyDescent="0.2">
      <c r="A1108" s="40">
        <v>4793</v>
      </c>
      <c r="B1108" s="39" t="s">
        <v>377</v>
      </c>
      <c r="C1108" s="40" t="s">
        <v>520</v>
      </c>
      <c r="D1108" s="75" t="s">
        <v>1269</v>
      </c>
      <c r="E1108" s="75" t="s">
        <v>1266</v>
      </c>
      <c r="F1108" s="75" t="s">
        <v>1268</v>
      </c>
      <c r="G1108" s="75" t="s">
        <v>1267</v>
      </c>
    </row>
    <row r="1109" spans="1:7" x14ac:dyDescent="0.2">
      <c r="A1109" s="40">
        <v>4794</v>
      </c>
      <c r="B1109" s="39" t="s">
        <v>378</v>
      </c>
      <c r="C1109" s="40" t="s">
        <v>520</v>
      </c>
      <c r="D1109" s="75" t="s">
        <v>1269</v>
      </c>
      <c r="E1109" s="75" t="s">
        <v>1266</v>
      </c>
      <c r="F1109" s="75" t="s">
        <v>1268</v>
      </c>
      <c r="G1109" s="75" t="s">
        <v>1267</v>
      </c>
    </row>
    <row r="1110" spans="1:7" x14ac:dyDescent="0.2">
      <c r="A1110" s="40">
        <v>4800</v>
      </c>
      <c r="B1110" s="39" t="s">
        <v>379</v>
      </c>
      <c r="C1110" s="40" t="s">
        <v>520</v>
      </c>
      <c r="D1110" s="75" t="s">
        <v>1269</v>
      </c>
      <c r="E1110" s="75" t="s">
        <v>1266</v>
      </c>
      <c r="F1110" s="75" t="s">
        <v>1268</v>
      </c>
      <c r="G1110" s="75" t="s">
        <v>1268</v>
      </c>
    </row>
    <row r="1111" spans="1:7" x14ac:dyDescent="0.2">
      <c r="A1111" s="40">
        <v>4801</v>
      </c>
      <c r="B1111" s="39" t="s">
        <v>380</v>
      </c>
      <c r="C1111" s="40" t="s">
        <v>520</v>
      </c>
      <c r="D1111" s="75" t="s">
        <v>1269</v>
      </c>
      <c r="E1111" s="75" t="s">
        <v>1266</v>
      </c>
      <c r="F1111" s="75" t="s">
        <v>1268</v>
      </c>
      <c r="G1111" s="75" t="s">
        <v>1267</v>
      </c>
    </row>
    <row r="1112" spans="1:7" x14ac:dyDescent="0.2">
      <c r="A1112" s="40">
        <v>4802</v>
      </c>
      <c r="B1112" s="39" t="s">
        <v>381</v>
      </c>
      <c r="C1112" s="40" t="s">
        <v>520</v>
      </c>
      <c r="D1112" s="75" t="s">
        <v>1269</v>
      </c>
      <c r="E1112" s="75" t="s">
        <v>1266</v>
      </c>
      <c r="F1112" s="75" t="s">
        <v>1268</v>
      </c>
      <c r="G1112" s="75" t="s">
        <v>1268</v>
      </c>
    </row>
    <row r="1113" spans="1:7" x14ac:dyDescent="0.2">
      <c r="A1113" s="40">
        <v>4810</v>
      </c>
      <c r="B1113" s="39" t="s">
        <v>170</v>
      </c>
      <c r="C1113" s="40" t="s">
        <v>520</v>
      </c>
      <c r="D1113" s="75" t="s">
        <v>1269</v>
      </c>
      <c r="E1113" s="75" t="s">
        <v>1266</v>
      </c>
      <c r="F1113" s="75" t="s">
        <v>1268</v>
      </c>
      <c r="G1113" s="75" t="s">
        <v>1268</v>
      </c>
    </row>
    <row r="1114" spans="1:7" x14ac:dyDescent="0.2">
      <c r="A1114" s="40">
        <v>4812</v>
      </c>
      <c r="B1114" s="39" t="s">
        <v>382</v>
      </c>
      <c r="C1114" s="40" t="s">
        <v>520</v>
      </c>
      <c r="D1114" s="75" t="s">
        <v>1269</v>
      </c>
      <c r="E1114" s="75" t="s">
        <v>1266</v>
      </c>
      <c r="F1114" s="75" t="s">
        <v>1268</v>
      </c>
      <c r="G1114" s="75" t="s">
        <v>1268</v>
      </c>
    </row>
    <row r="1115" spans="1:7" x14ac:dyDescent="0.2">
      <c r="A1115" s="40">
        <v>4813</v>
      </c>
      <c r="B1115" s="39" t="s">
        <v>383</v>
      </c>
      <c r="C1115" s="40" t="s">
        <v>520</v>
      </c>
      <c r="D1115" s="75" t="s">
        <v>1269</v>
      </c>
      <c r="E1115" s="75" t="s">
        <v>1266</v>
      </c>
      <c r="F1115" s="75" t="s">
        <v>1268</v>
      </c>
      <c r="G1115" s="75" t="s">
        <v>1268</v>
      </c>
    </row>
    <row r="1116" spans="1:7" x14ac:dyDescent="0.2">
      <c r="A1116" s="40">
        <v>4814</v>
      </c>
      <c r="B1116" s="39" t="s">
        <v>384</v>
      </c>
      <c r="C1116" s="40" t="s">
        <v>520</v>
      </c>
      <c r="D1116" s="75" t="s">
        <v>1269</v>
      </c>
      <c r="E1116" s="75" t="s">
        <v>1266</v>
      </c>
      <c r="F1116" s="75" t="s">
        <v>1268</v>
      </c>
      <c r="G1116" s="75" t="s">
        <v>1268</v>
      </c>
    </row>
    <row r="1117" spans="1:7" x14ac:dyDescent="0.2">
      <c r="A1117" s="40">
        <v>4815</v>
      </c>
      <c r="B1117" s="39" t="s">
        <v>385</v>
      </c>
      <c r="C1117" s="40" t="s">
        <v>520</v>
      </c>
      <c r="D1117" s="75" t="s">
        <v>1271</v>
      </c>
      <c r="E1117" s="75" t="s">
        <v>1266</v>
      </c>
      <c r="F1117" s="75" t="s">
        <v>1267</v>
      </c>
      <c r="G1117" s="75" t="s">
        <v>1268</v>
      </c>
    </row>
    <row r="1118" spans="1:7" x14ac:dyDescent="0.2">
      <c r="A1118" s="40">
        <v>4816</v>
      </c>
      <c r="B1118" s="39" t="s">
        <v>386</v>
      </c>
      <c r="C1118" s="40" t="s">
        <v>520</v>
      </c>
      <c r="D1118" s="75" t="s">
        <v>1269</v>
      </c>
      <c r="E1118" s="75" t="s">
        <v>1266</v>
      </c>
      <c r="F1118" s="75" t="s">
        <v>1268</v>
      </c>
      <c r="G1118" s="75" t="s">
        <v>1268</v>
      </c>
    </row>
    <row r="1119" spans="1:7" x14ac:dyDescent="0.2">
      <c r="A1119" s="40">
        <v>4817</v>
      </c>
      <c r="B1119" s="39" t="s">
        <v>387</v>
      </c>
      <c r="C1119" s="40" t="s">
        <v>520</v>
      </c>
      <c r="D1119" s="75" t="s">
        <v>1269</v>
      </c>
      <c r="E1119" s="75" t="s">
        <v>1266</v>
      </c>
      <c r="F1119" s="75" t="s">
        <v>1268</v>
      </c>
      <c r="G1119" s="75" t="s">
        <v>1267</v>
      </c>
    </row>
    <row r="1120" spans="1:7" x14ac:dyDescent="0.2">
      <c r="A1120" s="40">
        <v>4819</v>
      </c>
      <c r="B1120" s="39" t="s">
        <v>170</v>
      </c>
      <c r="C1120" s="40" t="s">
        <v>520</v>
      </c>
      <c r="D1120" s="75" t="s">
        <v>1271</v>
      </c>
      <c r="E1120" s="75" t="s">
        <v>1266</v>
      </c>
      <c r="F1120" s="75" t="s">
        <v>1267</v>
      </c>
      <c r="G1120" s="75" t="s">
        <v>1268</v>
      </c>
    </row>
    <row r="1121" spans="1:7" x14ac:dyDescent="0.2">
      <c r="A1121" s="40">
        <v>4820</v>
      </c>
      <c r="B1121" s="39" t="s">
        <v>131</v>
      </c>
      <c r="C1121" s="40" t="s">
        <v>520</v>
      </c>
      <c r="D1121" s="75" t="s">
        <v>1269</v>
      </c>
      <c r="E1121" s="75" t="s">
        <v>1266</v>
      </c>
      <c r="F1121" s="75" t="s">
        <v>1268</v>
      </c>
      <c r="G1121" s="75" t="s">
        <v>1268</v>
      </c>
    </row>
    <row r="1122" spans="1:7" x14ac:dyDescent="0.2">
      <c r="A1122" s="40">
        <v>4821</v>
      </c>
      <c r="B1122" s="39" t="s">
        <v>388</v>
      </c>
      <c r="C1122" s="40" t="s">
        <v>520</v>
      </c>
      <c r="D1122" s="75" t="s">
        <v>1269</v>
      </c>
      <c r="E1122" s="75" t="s">
        <v>1266</v>
      </c>
      <c r="F1122" s="75" t="s">
        <v>1268</v>
      </c>
      <c r="G1122" s="75" t="s">
        <v>1267</v>
      </c>
    </row>
    <row r="1123" spans="1:7" x14ac:dyDescent="0.2">
      <c r="A1123" s="40">
        <v>4822</v>
      </c>
      <c r="B1123" s="39" t="s">
        <v>389</v>
      </c>
      <c r="C1123" s="40" t="s">
        <v>520</v>
      </c>
      <c r="D1123" s="75" t="s">
        <v>1269</v>
      </c>
      <c r="E1123" s="75" t="s">
        <v>1266</v>
      </c>
      <c r="F1123" s="75" t="s">
        <v>1268</v>
      </c>
      <c r="G1123" s="75" t="s">
        <v>1268</v>
      </c>
    </row>
    <row r="1124" spans="1:7" x14ac:dyDescent="0.2">
      <c r="A1124" s="40">
        <v>4823</v>
      </c>
      <c r="B1124" s="39" t="s">
        <v>390</v>
      </c>
      <c r="C1124" s="40" t="s">
        <v>520</v>
      </c>
      <c r="D1124" s="75" t="s">
        <v>1269</v>
      </c>
      <c r="E1124" s="75" t="s">
        <v>1266</v>
      </c>
      <c r="F1124" s="75" t="s">
        <v>1268</v>
      </c>
      <c r="G1124" s="75" t="s">
        <v>1267</v>
      </c>
    </row>
    <row r="1125" spans="1:7" x14ac:dyDescent="0.2">
      <c r="A1125" s="40">
        <v>4824</v>
      </c>
      <c r="B1125" s="39" t="s">
        <v>391</v>
      </c>
      <c r="C1125" s="40" t="s">
        <v>520</v>
      </c>
      <c r="D1125" s="75" t="s">
        <v>1269</v>
      </c>
      <c r="E1125" s="75" t="s">
        <v>1266</v>
      </c>
      <c r="F1125" s="75" t="s">
        <v>1268</v>
      </c>
      <c r="G1125" s="75" t="s">
        <v>1268</v>
      </c>
    </row>
    <row r="1126" spans="1:7" x14ac:dyDescent="0.2">
      <c r="A1126" s="40">
        <v>4825</v>
      </c>
      <c r="B1126" s="39" t="s">
        <v>392</v>
      </c>
      <c r="C1126" s="40" t="s">
        <v>520</v>
      </c>
      <c r="D1126" s="75" t="s">
        <v>1269</v>
      </c>
      <c r="E1126" s="75" t="s">
        <v>1266</v>
      </c>
      <c r="F1126" s="75" t="s">
        <v>1268</v>
      </c>
      <c r="G1126" s="75" t="s">
        <v>1267</v>
      </c>
    </row>
    <row r="1127" spans="1:7" x14ac:dyDescent="0.2">
      <c r="A1127" s="40">
        <v>4829</v>
      </c>
      <c r="B1127" s="39" t="s">
        <v>131</v>
      </c>
      <c r="C1127" s="40" t="s">
        <v>520</v>
      </c>
      <c r="D1127" s="75" t="s">
        <v>1271</v>
      </c>
      <c r="E1127" s="75" t="s">
        <v>1266</v>
      </c>
      <c r="F1127" s="75" t="s">
        <v>1267</v>
      </c>
      <c r="G1127" s="75" t="s">
        <v>1268</v>
      </c>
    </row>
    <row r="1128" spans="1:7" x14ac:dyDescent="0.2">
      <c r="A1128" s="40">
        <v>4830</v>
      </c>
      <c r="B1128" s="39" t="s">
        <v>393</v>
      </c>
      <c r="C1128" s="40" t="s">
        <v>520</v>
      </c>
      <c r="D1128" s="75" t="s">
        <v>1269</v>
      </c>
      <c r="E1128" s="75" t="s">
        <v>1266</v>
      </c>
      <c r="F1128" s="75" t="s">
        <v>1268</v>
      </c>
      <c r="G1128" s="75" t="s">
        <v>1267</v>
      </c>
    </row>
    <row r="1129" spans="1:7" x14ac:dyDescent="0.2">
      <c r="A1129" s="40">
        <v>4831</v>
      </c>
      <c r="B1129" s="39" t="s">
        <v>394</v>
      </c>
      <c r="C1129" s="40" t="s">
        <v>520</v>
      </c>
      <c r="D1129" s="75" t="s">
        <v>1269</v>
      </c>
      <c r="E1129" s="75" t="s">
        <v>1266</v>
      </c>
      <c r="F1129" s="75" t="s">
        <v>1268</v>
      </c>
      <c r="G1129" s="75" t="s">
        <v>1267</v>
      </c>
    </row>
    <row r="1130" spans="1:7" x14ac:dyDescent="0.2">
      <c r="A1130" s="40">
        <v>4840</v>
      </c>
      <c r="B1130" s="39" t="s">
        <v>395</v>
      </c>
      <c r="C1130" s="40" t="s">
        <v>520</v>
      </c>
      <c r="D1130" s="75" t="s">
        <v>1269</v>
      </c>
      <c r="E1130" s="75" t="s">
        <v>1266</v>
      </c>
      <c r="F1130" s="75" t="s">
        <v>1268</v>
      </c>
      <c r="G1130" s="75" t="s">
        <v>1268</v>
      </c>
    </row>
    <row r="1131" spans="1:7" x14ac:dyDescent="0.2">
      <c r="A1131" s="40">
        <v>4841</v>
      </c>
      <c r="B1131" s="39" t="s">
        <v>396</v>
      </c>
      <c r="C1131" s="40" t="s">
        <v>520</v>
      </c>
      <c r="D1131" s="75" t="s">
        <v>1269</v>
      </c>
      <c r="E1131" s="75" t="s">
        <v>1266</v>
      </c>
      <c r="F1131" s="75" t="s">
        <v>1268</v>
      </c>
      <c r="G1131" s="75" t="s">
        <v>1267</v>
      </c>
    </row>
    <row r="1132" spans="1:7" x14ac:dyDescent="0.2">
      <c r="A1132" s="40">
        <v>4842</v>
      </c>
      <c r="B1132" s="39" t="s">
        <v>397</v>
      </c>
      <c r="C1132" s="40" t="s">
        <v>520</v>
      </c>
      <c r="D1132" s="75" t="s">
        <v>1269</v>
      </c>
      <c r="E1132" s="75" t="s">
        <v>1266</v>
      </c>
      <c r="F1132" s="75" t="s">
        <v>1268</v>
      </c>
      <c r="G1132" s="75" t="s">
        <v>1267</v>
      </c>
    </row>
    <row r="1133" spans="1:7" x14ac:dyDescent="0.2">
      <c r="A1133" s="40">
        <v>4843</v>
      </c>
      <c r="B1133" s="39" t="s">
        <v>398</v>
      </c>
      <c r="C1133" s="40" t="s">
        <v>520</v>
      </c>
      <c r="D1133" s="75" t="s">
        <v>1269</v>
      </c>
      <c r="E1133" s="75" t="s">
        <v>1266</v>
      </c>
      <c r="F1133" s="75" t="s">
        <v>1268</v>
      </c>
      <c r="G1133" s="75" t="s">
        <v>1268</v>
      </c>
    </row>
    <row r="1134" spans="1:7" x14ac:dyDescent="0.2">
      <c r="A1134" s="40">
        <v>4844</v>
      </c>
      <c r="B1134" s="39" t="s">
        <v>399</v>
      </c>
      <c r="C1134" s="40" t="s">
        <v>520</v>
      </c>
      <c r="D1134" s="75" t="s">
        <v>1269</v>
      </c>
      <c r="E1134" s="75" t="s">
        <v>1266</v>
      </c>
      <c r="F1134" s="75" t="s">
        <v>1268</v>
      </c>
      <c r="G1134" s="75" t="s">
        <v>1268</v>
      </c>
    </row>
    <row r="1135" spans="1:7" x14ac:dyDescent="0.2">
      <c r="A1135" s="40">
        <v>4845</v>
      </c>
      <c r="B1135" s="39" t="s">
        <v>400</v>
      </c>
      <c r="C1135" s="40" t="s">
        <v>520</v>
      </c>
      <c r="D1135" s="75" t="s">
        <v>1269</v>
      </c>
      <c r="E1135" s="75" t="s">
        <v>1266</v>
      </c>
      <c r="F1135" s="75" t="s">
        <v>1268</v>
      </c>
      <c r="G1135" s="75" t="s">
        <v>1267</v>
      </c>
    </row>
    <row r="1136" spans="1:7" x14ac:dyDescent="0.2">
      <c r="A1136" s="40">
        <v>4850</v>
      </c>
      <c r="B1136" s="39" t="s">
        <v>401</v>
      </c>
      <c r="C1136" s="40" t="s">
        <v>520</v>
      </c>
      <c r="D1136" s="75" t="s">
        <v>1269</v>
      </c>
      <c r="E1136" s="75" t="s">
        <v>1266</v>
      </c>
      <c r="F1136" s="75" t="s">
        <v>1268</v>
      </c>
      <c r="G1136" s="75" t="s">
        <v>1268</v>
      </c>
    </row>
    <row r="1137" spans="1:7" x14ac:dyDescent="0.2">
      <c r="A1137" s="40">
        <v>4851</v>
      </c>
      <c r="B1137" s="39" t="s">
        <v>402</v>
      </c>
      <c r="C1137" s="40" t="s">
        <v>520</v>
      </c>
      <c r="D1137" s="75" t="s">
        <v>1269</v>
      </c>
      <c r="E1137" s="75" t="s">
        <v>1266</v>
      </c>
      <c r="F1137" s="75" t="s">
        <v>1268</v>
      </c>
      <c r="G1137" s="75" t="s">
        <v>1267</v>
      </c>
    </row>
    <row r="1138" spans="1:7" x14ac:dyDescent="0.2">
      <c r="A1138" s="40">
        <v>4852</v>
      </c>
      <c r="B1138" s="39" t="s">
        <v>403</v>
      </c>
      <c r="C1138" s="40" t="s">
        <v>520</v>
      </c>
      <c r="D1138" s="75" t="s">
        <v>1269</v>
      </c>
      <c r="E1138" s="75" t="s">
        <v>1266</v>
      </c>
      <c r="F1138" s="75" t="s">
        <v>1268</v>
      </c>
      <c r="G1138" s="75" t="s">
        <v>1267</v>
      </c>
    </row>
    <row r="1139" spans="1:7" x14ac:dyDescent="0.2">
      <c r="A1139" s="40">
        <v>4853</v>
      </c>
      <c r="B1139" s="39" t="s">
        <v>404</v>
      </c>
      <c r="C1139" s="40" t="s">
        <v>520</v>
      </c>
      <c r="D1139" s="75" t="s">
        <v>1269</v>
      </c>
      <c r="E1139" s="75" t="s">
        <v>1266</v>
      </c>
      <c r="F1139" s="75" t="s">
        <v>1268</v>
      </c>
      <c r="G1139" s="75" t="s">
        <v>1268</v>
      </c>
    </row>
    <row r="1140" spans="1:7" x14ac:dyDescent="0.2">
      <c r="A1140" s="40">
        <v>4854</v>
      </c>
      <c r="B1140" s="39" t="s">
        <v>405</v>
      </c>
      <c r="C1140" s="40" t="s">
        <v>520</v>
      </c>
      <c r="D1140" s="75" t="s">
        <v>1269</v>
      </c>
      <c r="E1140" s="75" t="s">
        <v>1266</v>
      </c>
      <c r="F1140" s="75" t="s">
        <v>1268</v>
      </c>
      <c r="G1140" s="75" t="s">
        <v>1267</v>
      </c>
    </row>
    <row r="1141" spans="1:7" x14ac:dyDescent="0.2">
      <c r="A1141" s="40">
        <v>4860</v>
      </c>
      <c r="B1141" s="39" t="s">
        <v>406</v>
      </c>
      <c r="C1141" s="40" t="s">
        <v>520</v>
      </c>
      <c r="D1141" s="75" t="s">
        <v>1269</v>
      </c>
      <c r="E1141" s="75" t="s">
        <v>1266</v>
      </c>
      <c r="F1141" s="75" t="s">
        <v>1268</v>
      </c>
      <c r="G1141" s="75" t="s">
        <v>1268</v>
      </c>
    </row>
    <row r="1142" spans="1:7" x14ac:dyDescent="0.2">
      <c r="A1142" s="40">
        <v>4861</v>
      </c>
      <c r="B1142" s="39" t="s">
        <v>407</v>
      </c>
      <c r="C1142" s="40" t="s">
        <v>520</v>
      </c>
      <c r="D1142" s="75" t="s">
        <v>1269</v>
      </c>
      <c r="E1142" s="75" t="s">
        <v>1266</v>
      </c>
      <c r="F1142" s="75" t="s">
        <v>1268</v>
      </c>
      <c r="G1142" s="75" t="s">
        <v>1268</v>
      </c>
    </row>
    <row r="1143" spans="1:7" x14ac:dyDescent="0.2">
      <c r="A1143" s="40">
        <v>4863</v>
      </c>
      <c r="B1143" s="39" t="s">
        <v>408</v>
      </c>
      <c r="C1143" s="40" t="s">
        <v>520</v>
      </c>
      <c r="D1143" s="75" t="s">
        <v>1269</v>
      </c>
      <c r="E1143" s="75" t="s">
        <v>1266</v>
      </c>
      <c r="F1143" s="75" t="s">
        <v>1268</v>
      </c>
      <c r="G1143" s="75" t="s">
        <v>1268</v>
      </c>
    </row>
    <row r="1144" spans="1:7" x14ac:dyDescent="0.2">
      <c r="A1144" s="40">
        <v>4864</v>
      </c>
      <c r="B1144" s="39" t="s">
        <v>409</v>
      </c>
      <c r="C1144" s="40" t="s">
        <v>520</v>
      </c>
      <c r="D1144" s="75" t="s">
        <v>1269</v>
      </c>
      <c r="E1144" s="75" t="s">
        <v>1266</v>
      </c>
      <c r="F1144" s="75" t="s">
        <v>1268</v>
      </c>
      <c r="G1144" s="75" t="s">
        <v>1267</v>
      </c>
    </row>
    <row r="1145" spans="1:7" x14ac:dyDescent="0.2">
      <c r="A1145" s="40">
        <v>4865</v>
      </c>
      <c r="B1145" s="39" t="s">
        <v>410</v>
      </c>
      <c r="C1145" s="40" t="s">
        <v>520</v>
      </c>
      <c r="D1145" s="75" t="s">
        <v>1269</v>
      </c>
      <c r="E1145" s="75" t="s">
        <v>1266</v>
      </c>
      <c r="F1145" s="75" t="s">
        <v>1268</v>
      </c>
      <c r="G1145" s="75" t="s">
        <v>1268</v>
      </c>
    </row>
    <row r="1146" spans="1:7" x14ac:dyDescent="0.2">
      <c r="A1146" s="40">
        <v>4866</v>
      </c>
      <c r="B1146" s="39" t="s">
        <v>411</v>
      </c>
      <c r="C1146" s="40" t="s">
        <v>520</v>
      </c>
      <c r="D1146" s="75" t="s">
        <v>1269</v>
      </c>
      <c r="E1146" s="75" t="s">
        <v>1266</v>
      </c>
      <c r="F1146" s="75" t="s">
        <v>1268</v>
      </c>
      <c r="G1146" s="75" t="s">
        <v>1268</v>
      </c>
    </row>
    <row r="1147" spans="1:7" x14ac:dyDescent="0.2">
      <c r="A1147" s="40">
        <v>4870</v>
      </c>
      <c r="B1147" s="39" t="s">
        <v>412</v>
      </c>
      <c r="C1147" s="40" t="s">
        <v>520</v>
      </c>
      <c r="D1147" s="75" t="s">
        <v>1269</v>
      </c>
      <c r="E1147" s="75" t="s">
        <v>1266</v>
      </c>
      <c r="F1147" s="75" t="s">
        <v>1268</v>
      </c>
      <c r="G1147" s="75" t="s">
        <v>1268</v>
      </c>
    </row>
    <row r="1148" spans="1:7" x14ac:dyDescent="0.2">
      <c r="A1148" s="40">
        <v>4871</v>
      </c>
      <c r="B1148" s="39" t="s">
        <v>413</v>
      </c>
      <c r="C1148" s="40" t="s">
        <v>520</v>
      </c>
      <c r="D1148" s="75" t="s">
        <v>1269</v>
      </c>
      <c r="E1148" s="75" t="s">
        <v>1266</v>
      </c>
      <c r="F1148" s="75" t="s">
        <v>1268</v>
      </c>
      <c r="G1148" s="75" t="s">
        <v>1268</v>
      </c>
    </row>
    <row r="1149" spans="1:7" x14ac:dyDescent="0.2">
      <c r="A1149" s="40">
        <v>4872</v>
      </c>
      <c r="B1149" s="39" t="s">
        <v>414</v>
      </c>
      <c r="C1149" s="40" t="s">
        <v>520</v>
      </c>
      <c r="D1149" s="75" t="s">
        <v>1269</v>
      </c>
      <c r="E1149" s="75" t="s">
        <v>1266</v>
      </c>
      <c r="F1149" s="75" t="s">
        <v>1268</v>
      </c>
      <c r="G1149" s="75" t="s">
        <v>1267</v>
      </c>
    </row>
    <row r="1150" spans="1:7" x14ac:dyDescent="0.2">
      <c r="A1150" s="40">
        <v>4873</v>
      </c>
      <c r="B1150" s="39" t="s">
        <v>415</v>
      </c>
      <c r="C1150" s="40" t="s">
        <v>520</v>
      </c>
      <c r="D1150" s="75" t="s">
        <v>1269</v>
      </c>
      <c r="E1150" s="75" t="s">
        <v>1266</v>
      </c>
      <c r="F1150" s="75" t="s">
        <v>1268</v>
      </c>
      <c r="G1150" s="75" t="s">
        <v>1268</v>
      </c>
    </row>
    <row r="1151" spans="1:7" x14ac:dyDescent="0.2">
      <c r="A1151" s="40">
        <v>4874</v>
      </c>
      <c r="B1151" s="39" t="s">
        <v>416</v>
      </c>
      <c r="C1151" s="40" t="s">
        <v>520</v>
      </c>
      <c r="D1151" s="75" t="s">
        <v>417</v>
      </c>
      <c r="E1151" s="75" t="s">
        <v>418</v>
      </c>
      <c r="F1151" s="75" t="s">
        <v>1267</v>
      </c>
      <c r="G1151" s="75" t="s">
        <v>1267</v>
      </c>
    </row>
    <row r="1152" spans="1:7" x14ac:dyDescent="0.2">
      <c r="A1152" s="40">
        <v>4880</v>
      </c>
      <c r="B1152" s="39" t="s">
        <v>419</v>
      </c>
      <c r="C1152" s="40" t="s">
        <v>520</v>
      </c>
      <c r="D1152" s="75" t="s">
        <v>1269</v>
      </c>
      <c r="E1152" s="75" t="s">
        <v>1266</v>
      </c>
      <c r="F1152" s="75" t="s">
        <v>1268</v>
      </c>
      <c r="G1152" s="75" t="s">
        <v>1268</v>
      </c>
    </row>
    <row r="1153" spans="1:7" x14ac:dyDescent="0.2">
      <c r="A1153" s="40">
        <v>4881</v>
      </c>
      <c r="B1153" s="39" t="s">
        <v>420</v>
      </c>
      <c r="C1153" s="40" t="s">
        <v>520</v>
      </c>
      <c r="D1153" s="75" t="s">
        <v>1269</v>
      </c>
      <c r="E1153" s="75" t="s">
        <v>1266</v>
      </c>
      <c r="F1153" s="75" t="s">
        <v>1268</v>
      </c>
      <c r="G1153" s="75" t="s">
        <v>1267</v>
      </c>
    </row>
    <row r="1154" spans="1:7" x14ac:dyDescent="0.2">
      <c r="A1154" s="40">
        <v>4882</v>
      </c>
      <c r="B1154" s="39" t="s">
        <v>421</v>
      </c>
      <c r="C1154" s="40" t="s">
        <v>520</v>
      </c>
      <c r="D1154" s="75" t="s">
        <v>1269</v>
      </c>
      <c r="E1154" s="75" t="s">
        <v>1266</v>
      </c>
      <c r="F1154" s="75" t="s">
        <v>1268</v>
      </c>
      <c r="G1154" s="75" t="s">
        <v>1267</v>
      </c>
    </row>
    <row r="1155" spans="1:7" x14ac:dyDescent="0.2">
      <c r="A1155" s="40">
        <v>4890</v>
      </c>
      <c r="B1155" s="39" t="s">
        <v>422</v>
      </c>
      <c r="C1155" s="40" t="s">
        <v>520</v>
      </c>
      <c r="D1155" s="75" t="s">
        <v>1269</v>
      </c>
      <c r="E1155" s="75" t="s">
        <v>1266</v>
      </c>
      <c r="F1155" s="75" t="s">
        <v>1268</v>
      </c>
      <c r="G1155" s="75" t="s">
        <v>1268</v>
      </c>
    </row>
    <row r="1156" spans="1:7" x14ac:dyDescent="0.2">
      <c r="A1156" s="40">
        <v>4891</v>
      </c>
      <c r="B1156" s="39" t="s">
        <v>423</v>
      </c>
      <c r="C1156" s="40" t="s">
        <v>520</v>
      </c>
      <c r="D1156" s="75" t="s">
        <v>1269</v>
      </c>
      <c r="E1156" s="75" t="s">
        <v>1266</v>
      </c>
      <c r="F1156" s="75" t="s">
        <v>1268</v>
      </c>
      <c r="G1156" s="75" t="s">
        <v>1267</v>
      </c>
    </row>
    <row r="1157" spans="1:7" x14ac:dyDescent="0.2">
      <c r="A1157" s="40">
        <v>4892</v>
      </c>
      <c r="B1157" s="39" t="s">
        <v>424</v>
      </c>
      <c r="C1157" s="40" t="s">
        <v>520</v>
      </c>
      <c r="D1157" s="75" t="s">
        <v>1269</v>
      </c>
      <c r="E1157" s="75" t="s">
        <v>1266</v>
      </c>
      <c r="F1157" s="75" t="s">
        <v>1268</v>
      </c>
      <c r="G1157" s="75" t="s">
        <v>1267</v>
      </c>
    </row>
    <row r="1158" spans="1:7" x14ac:dyDescent="0.2">
      <c r="A1158" s="40">
        <v>4893</v>
      </c>
      <c r="B1158" s="39" t="s">
        <v>425</v>
      </c>
      <c r="C1158" s="40" t="s">
        <v>520</v>
      </c>
      <c r="D1158" s="75" t="s">
        <v>1269</v>
      </c>
      <c r="E1158" s="75" t="s">
        <v>1266</v>
      </c>
      <c r="F1158" s="75" t="s">
        <v>1268</v>
      </c>
      <c r="G1158" s="75" t="s">
        <v>1268</v>
      </c>
    </row>
    <row r="1159" spans="1:7" x14ac:dyDescent="0.2">
      <c r="A1159" s="40">
        <v>4894</v>
      </c>
      <c r="B1159" s="39" t="s">
        <v>426</v>
      </c>
      <c r="C1159" s="40" t="s">
        <v>520</v>
      </c>
      <c r="D1159" s="75" t="s">
        <v>1269</v>
      </c>
      <c r="E1159" s="75" t="s">
        <v>1266</v>
      </c>
      <c r="F1159" s="75" t="s">
        <v>1268</v>
      </c>
      <c r="G1159" s="75" t="s">
        <v>1268</v>
      </c>
    </row>
    <row r="1160" spans="1:7" x14ac:dyDescent="0.2">
      <c r="A1160" s="40">
        <v>4901</v>
      </c>
      <c r="B1160" s="39" t="s">
        <v>427</v>
      </c>
      <c r="C1160" s="40" t="s">
        <v>520</v>
      </c>
      <c r="D1160" s="75" t="s">
        <v>1269</v>
      </c>
      <c r="E1160" s="75" t="s">
        <v>1266</v>
      </c>
      <c r="F1160" s="75" t="s">
        <v>1268</v>
      </c>
      <c r="G1160" s="75" t="s">
        <v>1268</v>
      </c>
    </row>
    <row r="1161" spans="1:7" x14ac:dyDescent="0.2">
      <c r="A1161" s="40">
        <v>4902</v>
      </c>
      <c r="B1161" s="39" t="s">
        <v>428</v>
      </c>
      <c r="C1161" s="40" t="s">
        <v>520</v>
      </c>
      <c r="D1161" s="75" t="s">
        <v>1269</v>
      </c>
      <c r="E1161" s="75" t="s">
        <v>1266</v>
      </c>
      <c r="F1161" s="75" t="s">
        <v>1268</v>
      </c>
      <c r="G1161" s="75" t="s">
        <v>1267</v>
      </c>
    </row>
    <row r="1162" spans="1:7" x14ac:dyDescent="0.2">
      <c r="A1162" s="40">
        <v>4904</v>
      </c>
      <c r="B1162" s="39" t="s">
        <v>429</v>
      </c>
      <c r="C1162" s="40" t="s">
        <v>520</v>
      </c>
      <c r="D1162" s="75" t="s">
        <v>1269</v>
      </c>
      <c r="E1162" s="75" t="s">
        <v>1266</v>
      </c>
      <c r="F1162" s="75" t="s">
        <v>1268</v>
      </c>
      <c r="G1162" s="75" t="s">
        <v>1267</v>
      </c>
    </row>
    <row r="1163" spans="1:7" x14ac:dyDescent="0.2">
      <c r="A1163" s="40">
        <v>4905</v>
      </c>
      <c r="B1163" s="39" t="s">
        <v>430</v>
      </c>
      <c r="C1163" s="40" t="s">
        <v>520</v>
      </c>
      <c r="D1163" s="75" t="s">
        <v>1269</v>
      </c>
      <c r="E1163" s="75" t="s">
        <v>1266</v>
      </c>
      <c r="F1163" s="75" t="s">
        <v>1268</v>
      </c>
      <c r="G1163" s="75" t="s">
        <v>1267</v>
      </c>
    </row>
    <row r="1164" spans="1:7" x14ac:dyDescent="0.2">
      <c r="A1164" s="40">
        <v>4906</v>
      </c>
      <c r="B1164" s="39" t="s">
        <v>431</v>
      </c>
      <c r="C1164" s="40" t="s">
        <v>520</v>
      </c>
      <c r="D1164" s="75" t="s">
        <v>1269</v>
      </c>
      <c r="E1164" s="75" t="s">
        <v>1266</v>
      </c>
      <c r="F1164" s="75" t="s">
        <v>1268</v>
      </c>
      <c r="G1164" s="75" t="s">
        <v>1268</v>
      </c>
    </row>
    <row r="1165" spans="1:7" x14ac:dyDescent="0.2">
      <c r="A1165" s="40">
        <v>4910</v>
      </c>
      <c r="B1165" s="39" t="s">
        <v>432</v>
      </c>
      <c r="C1165" s="40" t="s">
        <v>520</v>
      </c>
      <c r="D1165" s="75" t="s">
        <v>1269</v>
      </c>
      <c r="E1165" s="75" t="s">
        <v>1266</v>
      </c>
      <c r="F1165" s="75" t="s">
        <v>1268</v>
      </c>
      <c r="G1165" s="75" t="s">
        <v>1268</v>
      </c>
    </row>
    <row r="1166" spans="1:7" x14ac:dyDescent="0.2">
      <c r="A1166" s="40">
        <v>4912</v>
      </c>
      <c r="B1166" s="39" t="s">
        <v>433</v>
      </c>
      <c r="C1166" s="40" t="s">
        <v>520</v>
      </c>
      <c r="D1166" s="75" t="s">
        <v>1269</v>
      </c>
      <c r="E1166" s="75" t="s">
        <v>1266</v>
      </c>
      <c r="F1166" s="75" t="s">
        <v>1268</v>
      </c>
      <c r="G1166" s="75" t="s">
        <v>1267</v>
      </c>
    </row>
    <row r="1167" spans="1:7" x14ac:dyDescent="0.2">
      <c r="A1167" s="40">
        <v>4920</v>
      </c>
      <c r="B1167" s="39" t="s">
        <v>434</v>
      </c>
      <c r="C1167" s="40" t="s">
        <v>520</v>
      </c>
      <c r="D1167" s="75" t="s">
        <v>1269</v>
      </c>
      <c r="E1167" s="75" t="s">
        <v>1266</v>
      </c>
      <c r="F1167" s="75" t="s">
        <v>1268</v>
      </c>
      <c r="G1167" s="75" t="s">
        <v>1267</v>
      </c>
    </row>
    <row r="1168" spans="1:7" x14ac:dyDescent="0.2">
      <c r="A1168" s="40">
        <v>4921</v>
      </c>
      <c r="B1168" s="39" t="s">
        <v>435</v>
      </c>
      <c r="C1168" s="40" t="s">
        <v>520</v>
      </c>
      <c r="D1168" s="75" t="s">
        <v>1269</v>
      </c>
      <c r="E1168" s="75" t="s">
        <v>1266</v>
      </c>
      <c r="F1168" s="75" t="s">
        <v>1268</v>
      </c>
      <c r="G1168" s="75" t="s">
        <v>1267</v>
      </c>
    </row>
    <row r="1169" spans="1:7" x14ac:dyDescent="0.2">
      <c r="A1169" s="40">
        <v>4922</v>
      </c>
      <c r="B1169" s="39" t="s">
        <v>436</v>
      </c>
      <c r="C1169" s="40" t="s">
        <v>520</v>
      </c>
      <c r="D1169" s="75" t="s">
        <v>1269</v>
      </c>
      <c r="E1169" s="75" t="s">
        <v>1266</v>
      </c>
      <c r="F1169" s="75" t="s">
        <v>1268</v>
      </c>
      <c r="G1169" s="75" t="s">
        <v>1267</v>
      </c>
    </row>
    <row r="1170" spans="1:7" x14ac:dyDescent="0.2">
      <c r="A1170" s="40">
        <v>4923</v>
      </c>
      <c r="B1170" s="39" t="s">
        <v>437</v>
      </c>
      <c r="C1170" s="40" t="s">
        <v>520</v>
      </c>
      <c r="D1170" s="75" t="s">
        <v>1269</v>
      </c>
      <c r="E1170" s="75" t="s">
        <v>1266</v>
      </c>
      <c r="F1170" s="75" t="s">
        <v>1268</v>
      </c>
      <c r="G1170" s="75" t="s">
        <v>1268</v>
      </c>
    </row>
    <row r="1171" spans="1:7" x14ac:dyDescent="0.2">
      <c r="A1171" s="40">
        <v>4924</v>
      </c>
      <c r="B1171" s="39" t="s">
        <v>438</v>
      </c>
      <c r="C1171" s="40" t="s">
        <v>520</v>
      </c>
      <c r="D1171" s="75" t="s">
        <v>1269</v>
      </c>
      <c r="E1171" s="75" t="s">
        <v>1266</v>
      </c>
      <c r="F1171" s="75" t="s">
        <v>1268</v>
      </c>
      <c r="G1171" s="75" t="s">
        <v>1268</v>
      </c>
    </row>
    <row r="1172" spans="1:7" x14ac:dyDescent="0.2">
      <c r="A1172" s="40">
        <v>4925</v>
      </c>
      <c r="B1172" s="39" t="s">
        <v>416</v>
      </c>
      <c r="C1172" s="40" t="s">
        <v>520</v>
      </c>
      <c r="D1172" s="75" t="s">
        <v>1269</v>
      </c>
      <c r="E1172" s="75" t="s">
        <v>1266</v>
      </c>
      <c r="F1172" s="75" t="s">
        <v>1268</v>
      </c>
      <c r="G1172" s="75" t="s">
        <v>1267</v>
      </c>
    </row>
    <row r="1173" spans="1:7" x14ac:dyDescent="0.2">
      <c r="A1173" s="40">
        <v>4926</v>
      </c>
      <c r="B1173" s="39" t="s">
        <v>439</v>
      </c>
      <c r="C1173" s="40" t="s">
        <v>520</v>
      </c>
      <c r="D1173" s="75" t="s">
        <v>1269</v>
      </c>
      <c r="E1173" s="75" t="s">
        <v>1266</v>
      </c>
      <c r="F1173" s="75" t="s">
        <v>1268</v>
      </c>
      <c r="G1173" s="75" t="s">
        <v>1267</v>
      </c>
    </row>
    <row r="1174" spans="1:7" x14ac:dyDescent="0.2">
      <c r="A1174" s="40">
        <v>4931</v>
      </c>
      <c r="B1174" s="39" t="s">
        <v>440</v>
      </c>
      <c r="C1174" s="40" t="s">
        <v>520</v>
      </c>
      <c r="D1174" s="75" t="s">
        <v>1269</v>
      </c>
      <c r="E1174" s="75" t="s">
        <v>1266</v>
      </c>
      <c r="F1174" s="75" t="s">
        <v>1268</v>
      </c>
      <c r="G1174" s="75" t="s">
        <v>1268</v>
      </c>
    </row>
    <row r="1175" spans="1:7" x14ac:dyDescent="0.2">
      <c r="A1175" s="40">
        <v>4932</v>
      </c>
      <c r="B1175" s="39" t="s">
        <v>441</v>
      </c>
      <c r="C1175" s="40" t="s">
        <v>520</v>
      </c>
      <c r="D1175" s="75" t="s">
        <v>1269</v>
      </c>
      <c r="E1175" s="75" t="s">
        <v>1266</v>
      </c>
      <c r="F1175" s="75" t="s">
        <v>1268</v>
      </c>
      <c r="G1175" s="75" t="s">
        <v>1267</v>
      </c>
    </row>
    <row r="1176" spans="1:7" x14ac:dyDescent="0.2">
      <c r="A1176" s="40">
        <v>4933</v>
      </c>
      <c r="B1176" s="39" t="s">
        <v>442</v>
      </c>
      <c r="C1176" s="40" t="s">
        <v>520</v>
      </c>
      <c r="D1176" s="75" t="s">
        <v>1269</v>
      </c>
      <c r="E1176" s="75" t="s">
        <v>1266</v>
      </c>
      <c r="F1176" s="75" t="s">
        <v>1268</v>
      </c>
      <c r="G1176" s="75" t="s">
        <v>1267</v>
      </c>
    </row>
    <row r="1177" spans="1:7" x14ac:dyDescent="0.2">
      <c r="A1177" s="40">
        <v>4941</v>
      </c>
      <c r="B1177" s="39" t="s">
        <v>443</v>
      </c>
      <c r="C1177" s="40" t="s">
        <v>520</v>
      </c>
      <c r="D1177" s="75" t="s">
        <v>1269</v>
      </c>
      <c r="E1177" s="75" t="s">
        <v>1266</v>
      </c>
      <c r="F1177" s="75" t="s">
        <v>1268</v>
      </c>
      <c r="G1177" s="75" t="s">
        <v>1267</v>
      </c>
    </row>
    <row r="1178" spans="1:7" x14ac:dyDescent="0.2">
      <c r="A1178" s="40">
        <v>4942</v>
      </c>
      <c r="B1178" s="39" t="s">
        <v>444</v>
      </c>
      <c r="C1178" s="40" t="s">
        <v>520</v>
      </c>
      <c r="D1178" s="75" t="s">
        <v>1269</v>
      </c>
      <c r="E1178" s="75" t="s">
        <v>1266</v>
      </c>
      <c r="F1178" s="75" t="s">
        <v>1268</v>
      </c>
      <c r="G1178" s="75" t="s">
        <v>1267</v>
      </c>
    </row>
    <row r="1179" spans="1:7" x14ac:dyDescent="0.2">
      <c r="A1179" s="40">
        <v>4943</v>
      </c>
      <c r="B1179" s="39" t="s">
        <v>445</v>
      </c>
      <c r="C1179" s="40" t="s">
        <v>520</v>
      </c>
      <c r="D1179" s="75" t="s">
        <v>1269</v>
      </c>
      <c r="E1179" s="75" t="s">
        <v>1266</v>
      </c>
      <c r="F1179" s="75" t="s">
        <v>1268</v>
      </c>
      <c r="G1179" s="75" t="s">
        <v>1268</v>
      </c>
    </row>
    <row r="1180" spans="1:7" x14ac:dyDescent="0.2">
      <c r="A1180" s="40">
        <v>4950</v>
      </c>
      <c r="B1180" s="39" t="s">
        <v>446</v>
      </c>
      <c r="C1180" s="40" t="s">
        <v>520</v>
      </c>
      <c r="D1180" s="75" t="s">
        <v>1269</v>
      </c>
      <c r="E1180" s="75" t="s">
        <v>1266</v>
      </c>
      <c r="F1180" s="75" t="s">
        <v>1268</v>
      </c>
      <c r="G1180" s="75" t="s">
        <v>1268</v>
      </c>
    </row>
    <row r="1181" spans="1:7" x14ac:dyDescent="0.2">
      <c r="A1181" s="40">
        <v>4951</v>
      </c>
      <c r="B1181" s="39" t="s">
        <v>447</v>
      </c>
      <c r="C1181" s="40" t="s">
        <v>520</v>
      </c>
      <c r="D1181" s="75" t="s">
        <v>1269</v>
      </c>
      <c r="E1181" s="75" t="s">
        <v>1266</v>
      </c>
      <c r="F1181" s="75" t="s">
        <v>1268</v>
      </c>
      <c r="G1181" s="75" t="s">
        <v>1267</v>
      </c>
    </row>
    <row r="1182" spans="1:7" x14ac:dyDescent="0.2">
      <c r="A1182" s="40">
        <v>4952</v>
      </c>
      <c r="B1182" s="39" t="s">
        <v>448</v>
      </c>
      <c r="C1182" s="40" t="s">
        <v>520</v>
      </c>
      <c r="D1182" s="75" t="s">
        <v>1269</v>
      </c>
      <c r="E1182" s="75" t="s">
        <v>1266</v>
      </c>
      <c r="F1182" s="75" t="s">
        <v>1268</v>
      </c>
      <c r="G1182" s="75" t="s">
        <v>1267</v>
      </c>
    </row>
    <row r="1183" spans="1:7" x14ac:dyDescent="0.2">
      <c r="A1183" s="40">
        <v>4961</v>
      </c>
      <c r="B1183" s="39" t="s">
        <v>449</v>
      </c>
      <c r="C1183" s="40" t="s">
        <v>520</v>
      </c>
      <c r="D1183" s="75" t="s">
        <v>1269</v>
      </c>
      <c r="E1183" s="75" t="s">
        <v>1266</v>
      </c>
      <c r="F1183" s="75" t="s">
        <v>1268</v>
      </c>
      <c r="G1183" s="75" t="s">
        <v>1267</v>
      </c>
    </row>
    <row r="1184" spans="1:7" x14ac:dyDescent="0.2">
      <c r="A1184" s="40">
        <v>4962</v>
      </c>
      <c r="B1184" s="39" t="s">
        <v>450</v>
      </c>
      <c r="C1184" s="40" t="s">
        <v>520</v>
      </c>
      <c r="D1184" s="75" t="s">
        <v>1269</v>
      </c>
      <c r="E1184" s="75" t="s">
        <v>1266</v>
      </c>
      <c r="F1184" s="75" t="s">
        <v>1268</v>
      </c>
      <c r="G1184" s="75" t="s">
        <v>1267</v>
      </c>
    </row>
    <row r="1185" spans="1:7" x14ac:dyDescent="0.2">
      <c r="A1185" s="40">
        <v>4963</v>
      </c>
      <c r="B1185" s="39" t="s">
        <v>451</v>
      </c>
      <c r="C1185" s="40" t="s">
        <v>520</v>
      </c>
      <c r="D1185" s="75" t="s">
        <v>1269</v>
      </c>
      <c r="E1185" s="75" t="s">
        <v>1266</v>
      </c>
      <c r="F1185" s="75" t="s">
        <v>1268</v>
      </c>
      <c r="G1185" s="75" t="s">
        <v>1267</v>
      </c>
    </row>
    <row r="1186" spans="1:7" x14ac:dyDescent="0.2">
      <c r="A1186" s="40">
        <v>4970</v>
      </c>
      <c r="B1186" s="39" t="s">
        <v>452</v>
      </c>
      <c r="C1186" s="40" t="s">
        <v>520</v>
      </c>
      <c r="D1186" s="75" t="s">
        <v>1269</v>
      </c>
      <c r="E1186" s="75" t="s">
        <v>1266</v>
      </c>
      <c r="F1186" s="75" t="s">
        <v>1268</v>
      </c>
      <c r="G1186" s="75" t="s">
        <v>1267</v>
      </c>
    </row>
    <row r="1187" spans="1:7" x14ac:dyDescent="0.2">
      <c r="A1187" s="40">
        <v>4971</v>
      </c>
      <c r="B1187" s="39" t="s">
        <v>453</v>
      </c>
      <c r="C1187" s="40" t="s">
        <v>520</v>
      </c>
      <c r="D1187" s="75" t="s">
        <v>1269</v>
      </c>
      <c r="E1187" s="75" t="s">
        <v>1266</v>
      </c>
      <c r="F1187" s="75" t="s">
        <v>1268</v>
      </c>
      <c r="G1187" s="75" t="s">
        <v>1268</v>
      </c>
    </row>
    <row r="1188" spans="1:7" x14ac:dyDescent="0.2">
      <c r="A1188" s="40">
        <v>4972</v>
      </c>
      <c r="B1188" s="39" t="s">
        <v>454</v>
      </c>
      <c r="C1188" s="40" t="s">
        <v>520</v>
      </c>
      <c r="D1188" s="75" t="s">
        <v>1269</v>
      </c>
      <c r="E1188" s="75" t="s">
        <v>1266</v>
      </c>
      <c r="F1188" s="75" t="s">
        <v>1268</v>
      </c>
      <c r="G1188" s="75" t="s">
        <v>1267</v>
      </c>
    </row>
    <row r="1189" spans="1:7" x14ac:dyDescent="0.2">
      <c r="A1189" s="40">
        <v>4973</v>
      </c>
      <c r="B1189" s="39" t="s">
        <v>642</v>
      </c>
      <c r="C1189" s="40" t="s">
        <v>520</v>
      </c>
      <c r="D1189" s="75" t="s">
        <v>1269</v>
      </c>
      <c r="E1189" s="75" t="s">
        <v>1266</v>
      </c>
      <c r="F1189" s="75" t="s">
        <v>1268</v>
      </c>
      <c r="G1189" s="75" t="s">
        <v>1268</v>
      </c>
    </row>
    <row r="1190" spans="1:7" x14ac:dyDescent="0.2">
      <c r="A1190" s="40">
        <v>4974</v>
      </c>
      <c r="B1190" s="39" t="s">
        <v>455</v>
      </c>
      <c r="C1190" s="40" t="s">
        <v>520</v>
      </c>
      <c r="D1190" s="75" t="s">
        <v>1269</v>
      </c>
      <c r="E1190" s="75" t="s">
        <v>1266</v>
      </c>
      <c r="F1190" s="75" t="s">
        <v>1268</v>
      </c>
      <c r="G1190" s="75" t="s">
        <v>1267</v>
      </c>
    </row>
    <row r="1191" spans="1:7" x14ac:dyDescent="0.2">
      <c r="A1191" s="40">
        <v>4975</v>
      </c>
      <c r="B1191" s="39" t="s">
        <v>456</v>
      </c>
      <c r="C1191" s="40" t="s">
        <v>520</v>
      </c>
      <c r="D1191" s="75" t="s">
        <v>1269</v>
      </c>
      <c r="E1191" s="75" t="s">
        <v>1266</v>
      </c>
      <c r="F1191" s="75" t="s">
        <v>1268</v>
      </c>
      <c r="G1191" s="75" t="s">
        <v>1267</v>
      </c>
    </row>
    <row r="1192" spans="1:7" x14ac:dyDescent="0.2">
      <c r="A1192" s="40">
        <v>4980</v>
      </c>
      <c r="B1192" s="39" t="s">
        <v>457</v>
      </c>
      <c r="C1192" s="40" t="s">
        <v>520</v>
      </c>
      <c r="D1192" s="75" t="s">
        <v>1269</v>
      </c>
      <c r="E1192" s="75" t="s">
        <v>1266</v>
      </c>
      <c r="F1192" s="75" t="s">
        <v>1268</v>
      </c>
      <c r="G1192" s="75" t="s">
        <v>1267</v>
      </c>
    </row>
    <row r="1193" spans="1:7" x14ac:dyDescent="0.2">
      <c r="A1193" s="40">
        <v>4981</v>
      </c>
      <c r="B1193" s="39" t="s">
        <v>255</v>
      </c>
      <c r="C1193" s="40" t="s">
        <v>520</v>
      </c>
      <c r="D1193" s="75" t="s">
        <v>1269</v>
      </c>
      <c r="E1193" s="75" t="s">
        <v>1266</v>
      </c>
      <c r="F1193" s="75" t="s">
        <v>1268</v>
      </c>
      <c r="G1193" s="75" t="s">
        <v>1267</v>
      </c>
    </row>
    <row r="1194" spans="1:7" x14ac:dyDescent="0.2">
      <c r="A1194" s="40">
        <v>4982</v>
      </c>
      <c r="B1194" s="39" t="s">
        <v>666</v>
      </c>
      <c r="C1194" s="40" t="s">
        <v>520</v>
      </c>
      <c r="D1194" s="75" t="s">
        <v>1269</v>
      </c>
      <c r="E1194" s="75" t="s">
        <v>1266</v>
      </c>
      <c r="F1194" s="75" t="s">
        <v>1268</v>
      </c>
      <c r="G1194" s="75" t="s">
        <v>1268</v>
      </c>
    </row>
    <row r="1195" spans="1:7" x14ac:dyDescent="0.2">
      <c r="A1195" s="40">
        <v>4983</v>
      </c>
      <c r="B1195" s="39" t="s">
        <v>667</v>
      </c>
      <c r="C1195" s="40" t="s">
        <v>520</v>
      </c>
      <c r="D1195" s="75" t="s">
        <v>1269</v>
      </c>
      <c r="E1195" s="75" t="s">
        <v>1266</v>
      </c>
      <c r="F1195" s="75" t="s">
        <v>1268</v>
      </c>
      <c r="G1195" s="75" t="s">
        <v>1267</v>
      </c>
    </row>
    <row r="1196" spans="1:7" x14ac:dyDescent="0.2">
      <c r="A1196" s="40">
        <v>4984</v>
      </c>
      <c r="B1196" s="39" t="s">
        <v>668</v>
      </c>
      <c r="C1196" s="40" t="s">
        <v>520</v>
      </c>
      <c r="D1196" s="75" t="s">
        <v>1269</v>
      </c>
      <c r="E1196" s="75" t="s">
        <v>1266</v>
      </c>
      <c r="F1196" s="75" t="s">
        <v>1268</v>
      </c>
      <c r="G1196" s="75" t="s">
        <v>1267</v>
      </c>
    </row>
    <row r="1197" spans="1:7" x14ac:dyDescent="0.2">
      <c r="A1197" s="40">
        <v>5010</v>
      </c>
      <c r="B1197" s="39" t="s">
        <v>261</v>
      </c>
      <c r="C1197" s="40" t="s">
        <v>669</v>
      </c>
      <c r="D1197" s="75" t="s">
        <v>1271</v>
      </c>
      <c r="E1197" s="75" t="s">
        <v>1266</v>
      </c>
      <c r="F1197" s="75" t="s">
        <v>1267</v>
      </c>
      <c r="G1197" s="75" t="s">
        <v>1268</v>
      </c>
    </row>
    <row r="1198" spans="1:7" x14ac:dyDescent="0.2">
      <c r="A1198" s="40">
        <v>5012</v>
      </c>
      <c r="B1198" s="39" t="s">
        <v>261</v>
      </c>
      <c r="C1198" s="40" t="s">
        <v>669</v>
      </c>
      <c r="D1198" s="75" t="s">
        <v>1271</v>
      </c>
      <c r="E1198" s="75" t="s">
        <v>1266</v>
      </c>
      <c r="F1198" s="75" t="s">
        <v>1267</v>
      </c>
      <c r="G1198" s="75" t="s">
        <v>1268</v>
      </c>
    </row>
    <row r="1199" spans="1:7" x14ac:dyDescent="0.2">
      <c r="A1199" s="40">
        <v>5013</v>
      </c>
      <c r="B1199" s="39" t="s">
        <v>670</v>
      </c>
      <c r="C1199" s="40" t="s">
        <v>669</v>
      </c>
      <c r="D1199" s="75" t="s">
        <v>1271</v>
      </c>
      <c r="E1199" s="75" t="s">
        <v>1266</v>
      </c>
      <c r="F1199" s="75" t="s">
        <v>1267</v>
      </c>
      <c r="G1199" s="75" t="s">
        <v>1268</v>
      </c>
    </row>
    <row r="1200" spans="1:7" x14ac:dyDescent="0.2">
      <c r="A1200" s="40">
        <v>5014</v>
      </c>
      <c r="B1200" s="39" t="s">
        <v>261</v>
      </c>
      <c r="C1200" s="40" t="s">
        <v>669</v>
      </c>
      <c r="D1200" s="75" t="s">
        <v>1271</v>
      </c>
      <c r="E1200" s="75" t="s">
        <v>1266</v>
      </c>
      <c r="F1200" s="75" t="s">
        <v>1267</v>
      </c>
      <c r="G1200" s="75" t="s">
        <v>1268</v>
      </c>
    </row>
    <row r="1201" spans="1:7" x14ac:dyDescent="0.2">
      <c r="A1201" s="40">
        <v>5015</v>
      </c>
      <c r="B1201" s="39" t="s">
        <v>261</v>
      </c>
      <c r="C1201" s="40" t="s">
        <v>669</v>
      </c>
      <c r="D1201" s="75" t="s">
        <v>1271</v>
      </c>
      <c r="E1201" s="75" t="s">
        <v>1266</v>
      </c>
      <c r="F1201" s="75" t="s">
        <v>1267</v>
      </c>
      <c r="G1201" s="75" t="s">
        <v>1268</v>
      </c>
    </row>
    <row r="1202" spans="1:7" x14ac:dyDescent="0.2">
      <c r="A1202" s="40">
        <v>5016</v>
      </c>
      <c r="B1202" s="39" t="s">
        <v>261</v>
      </c>
      <c r="C1202" s="40" t="s">
        <v>669</v>
      </c>
      <c r="D1202" s="75" t="s">
        <v>1271</v>
      </c>
      <c r="E1202" s="75" t="s">
        <v>1266</v>
      </c>
      <c r="F1202" s="75" t="s">
        <v>1267</v>
      </c>
      <c r="G1202" s="75" t="s">
        <v>1268</v>
      </c>
    </row>
    <row r="1203" spans="1:7" x14ac:dyDescent="0.2">
      <c r="A1203" s="40">
        <v>5017</v>
      </c>
      <c r="B1203" s="39" t="s">
        <v>261</v>
      </c>
      <c r="C1203" s="40" t="s">
        <v>669</v>
      </c>
      <c r="D1203" s="75" t="s">
        <v>1271</v>
      </c>
      <c r="E1203" s="75" t="s">
        <v>1266</v>
      </c>
      <c r="F1203" s="75" t="s">
        <v>1267</v>
      </c>
      <c r="G1203" s="75" t="s">
        <v>1268</v>
      </c>
    </row>
    <row r="1204" spans="1:7" x14ac:dyDescent="0.2">
      <c r="A1204" s="40">
        <v>5018</v>
      </c>
      <c r="B1204" s="39" t="s">
        <v>671</v>
      </c>
      <c r="C1204" s="40" t="s">
        <v>669</v>
      </c>
      <c r="D1204" s="75" t="s">
        <v>1271</v>
      </c>
      <c r="E1204" s="75" t="s">
        <v>1266</v>
      </c>
      <c r="F1204" s="75" t="s">
        <v>1267</v>
      </c>
      <c r="G1204" s="75" t="s">
        <v>1268</v>
      </c>
    </row>
    <row r="1205" spans="1:7" x14ac:dyDescent="0.2">
      <c r="A1205" s="40">
        <v>5020</v>
      </c>
      <c r="B1205" s="39" t="s">
        <v>261</v>
      </c>
      <c r="C1205" s="40" t="s">
        <v>669</v>
      </c>
      <c r="D1205" s="75" t="s">
        <v>1269</v>
      </c>
      <c r="E1205" s="75" t="s">
        <v>1266</v>
      </c>
      <c r="F1205" s="75" t="s">
        <v>1268</v>
      </c>
      <c r="G1205" s="75" t="s">
        <v>1268</v>
      </c>
    </row>
    <row r="1206" spans="1:7" x14ac:dyDescent="0.2">
      <c r="A1206" s="40">
        <v>5021</v>
      </c>
      <c r="B1206" s="39" t="s">
        <v>672</v>
      </c>
      <c r="C1206" s="40" t="s">
        <v>669</v>
      </c>
      <c r="D1206" s="75" t="s">
        <v>1271</v>
      </c>
      <c r="E1206" s="75" t="s">
        <v>1266</v>
      </c>
      <c r="F1206" s="75" t="s">
        <v>1267</v>
      </c>
      <c r="G1206" s="75" t="s">
        <v>1268</v>
      </c>
    </row>
    <row r="1207" spans="1:7" x14ac:dyDescent="0.2">
      <c r="A1207" s="40">
        <v>5022</v>
      </c>
      <c r="B1207" s="39" t="s">
        <v>261</v>
      </c>
      <c r="C1207" s="40" t="s">
        <v>669</v>
      </c>
      <c r="D1207" s="75" t="s">
        <v>1271</v>
      </c>
      <c r="E1207" s="75" t="s">
        <v>1266</v>
      </c>
      <c r="F1207" s="75" t="s">
        <v>1267</v>
      </c>
      <c r="G1207" s="75" t="s">
        <v>1268</v>
      </c>
    </row>
    <row r="1208" spans="1:7" x14ac:dyDescent="0.2">
      <c r="A1208" s="40">
        <v>5023</v>
      </c>
      <c r="B1208" s="39" t="s">
        <v>673</v>
      </c>
      <c r="C1208" s="40" t="s">
        <v>669</v>
      </c>
      <c r="D1208" s="75" t="s">
        <v>1269</v>
      </c>
      <c r="E1208" s="75" t="s">
        <v>1266</v>
      </c>
      <c r="F1208" s="75" t="s">
        <v>1268</v>
      </c>
      <c r="G1208" s="75" t="s">
        <v>1268</v>
      </c>
    </row>
    <row r="1209" spans="1:7" x14ac:dyDescent="0.2">
      <c r="A1209" s="40">
        <v>5024</v>
      </c>
      <c r="B1209" s="39" t="s">
        <v>261</v>
      </c>
      <c r="C1209" s="40" t="s">
        <v>669</v>
      </c>
      <c r="D1209" s="75" t="s">
        <v>1271</v>
      </c>
      <c r="E1209" s="75" t="s">
        <v>1266</v>
      </c>
      <c r="F1209" s="75" t="s">
        <v>1267</v>
      </c>
      <c r="G1209" s="75" t="s">
        <v>1268</v>
      </c>
    </row>
    <row r="1210" spans="1:7" x14ac:dyDescent="0.2">
      <c r="A1210" s="40">
        <v>5025</v>
      </c>
      <c r="B1210" s="39" t="s">
        <v>674</v>
      </c>
      <c r="C1210" s="40" t="s">
        <v>669</v>
      </c>
      <c r="D1210" s="75" t="s">
        <v>1271</v>
      </c>
      <c r="E1210" s="75" t="s">
        <v>1266</v>
      </c>
      <c r="F1210" s="75" t="s">
        <v>1267</v>
      </c>
      <c r="G1210" s="75" t="s">
        <v>1268</v>
      </c>
    </row>
    <row r="1211" spans="1:7" x14ac:dyDescent="0.2">
      <c r="A1211" s="40">
        <v>5026</v>
      </c>
      <c r="B1211" s="39" t="s">
        <v>675</v>
      </c>
      <c r="C1211" s="40" t="s">
        <v>669</v>
      </c>
      <c r="D1211" s="75" t="s">
        <v>1269</v>
      </c>
      <c r="E1211" s="75" t="s">
        <v>1266</v>
      </c>
      <c r="F1211" s="75" t="s">
        <v>1268</v>
      </c>
      <c r="G1211" s="75" t="s">
        <v>1268</v>
      </c>
    </row>
    <row r="1212" spans="1:7" x14ac:dyDescent="0.2">
      <c r="A1212" s="40">
        <v>5027</v>
      </c>
      <c r="B1212" s="39" t="s">
        <v>261</v>
      </c>
      <c r="C1212" s="40" t="s">
        <v>669</v>
      </c>
      <c r="D1212" s="75" t="s">
        <v>1271</v>
      </c>
      <c r="E1212" s="75" t="s">
        <v>1266</v>
      </c>
      <c r="F1212" s="75" t="s">
        <v>1267</v>
      </c>
      <c r="G1212" s="75" t="s">
        <v>1268</v>
      </c>
    </row>
    <row r="1213" spans="1:7" x14ac:dyDescent="0.2">
      <c r="A1213" s="40">
        <v>5028</v>
      </c>
      <c r="B1213" s="39" t="s">
        <v>676</v>
      </c>
      <c r="C1213" s="40" t="s">
        <v>669</v>
      </c>
      <c r="D1213" s="75" t="s">
        <v>1271</v>
      </c>
      <c r="E1213" s="75" t="s">
        <v>1266</v>
      </c>
      <c r="F1213" s="75" t="s">
        <v>1267</v>
      </c>
      <c r="G1213" s="75" t="s">
        <v>1268</v>
      </c>
    </row>
    <row r="1214" spans="1:7" x14ac:dyDescent="0.2">
      <c r="A1214" s="40">
        <v>5029</v>
      </c>
      <c r="B1214" s="39" t="s">
        <v>261</v>
      </c>
      <c r="C1214" s="40" t="s">
        <v>669</v>
      </c>
      <c r="D1214" s="75" t="s">
        <v>1271</v>
      </c>
      <c r="E1214" s="75" t="s">
        <v>1266</v>
      </c>
      <c r="F1214" s="75" t="s">
        <v>1267</v>
      </c>
      <c r="G1214" s="75" t="s">
        <v>1268</v>
      </c>
    </row>
    <row r="1215" spans="1:7" x14ac:dyDescent="0.2">
      <c r="A1215" s="40">
        <v>5033</v>
      </c>
      <c r="B1215" s="39" t="s">
        <v>261</v>
      </c>
      <c r="C1215" s="40" t="s">
        <v>669</v>
      </c>
      <c r="D1215" s="75" t="s">
        <v>1271</v>
      </c>
      <c r="E1215" s="75" t="s">
        <v>1266</v>
      </c>
      <c r="F1215" s="75" t="s">
        <v>1267</v>
      </c>
      <c r="G1215" s="75" t="s">
        <v>1268</v>
      </c>
    </row>
    <row r="1216" spans="1:7" x14ac:dyDescent="0.2">
      <c r="A1216" s="40">
        <v>5034</v>
      </c>
      <c r="B1216" s="39" t="s">
        <v>685</v>
      </c>
      <c r="C1216" s="40" t="s">
        <v>669</v>
      </c>
      <c r="D1216" s="75" t="s">
        <v>1271</v>
      </c>
      <c r="E1216" s="75" t="s">
        <v>1266</v>
      </c>
      <c r="F1216" s="75" t="s">
        <v>1267</v>
      </c>
      <c r="G1216" s="75" t="s">
        <v>1268</v>
      </c>
    </row>
    <row r="1217" spans="1:7" x14ac:dyDescent="0.2">
      <c r="A1217" s="40">
        <v>5061</v>
      </c>
      <c r="B1217" s="39" t="s">
        <v>686</v>
      </c>
      <c r="C1217" s="40" t="s">
        <v>669</v>
      </c>
      <c r="D1217" s="75" t="s">
        <v>1269</v>
      </c>
      <c r="E1217" s="75" t="s">
        <v>1266</v>
      </c>
      <c r="F1217" s="75" t="s">
        <v>1268</v>
      </c>
      <c r="G1217" s="75" t="s">
        <v>1268</v>
      </c>
    </row>
    <row r="1218" spans="1:7" x14ac:dyDescent="0.2">
      <c r="A1218" s="40">
        <v>5071</v>
      </c>
      <c r="B1218" s="39" t="s">
        <v>687</v>
      </c>
      <c r="C1218" s="40" t="s">
        <v>669</v>
      </c>
      <c r="D1218" s="75" t="s">
        <v>1269</v>
      </c>
      <c r="E1218" s="75" t="s">
        <v>1266</v>
      </c>
      <c r="F1218" s="75" t="s">
        <v>1268</v>
      </c>
      <c r="G1218" s="75" t="s">
        <v>1268</v>
      </c>
    </row>
    <row r="1219" spans="1:7" x14ac:dyDescent="0.2">
      <c r="A1219" s="40">
        <v>5072</v>
      </c>
      <c r="B1219" s="39" t="s">
        <v>688</v>
      </c>
      <c r="C1219" s="40" t="s">
        <v>669</v>
      </c>
      <c r="D1219" s="75" t="s">
        <v>1271</v>
      </c>
      <c r="E1219" s="75" t="s">
        <v>1266</v>
      </c>
      <c r="F1219" s="75" t="s">
        <v>1267</v>
      </c>
      <c r="G1219" s="75" t="s">
        <v>1268</v>
      </c>
    </row>
    <row r="1220" spans="1:7" x14ac:dyDescent="0.2">
      <c r="A1220" s="40">
        <v>5073</v>
      </c>
      <c r="B1220" s="39" t="s">
        <v>689</v>
      </c>
      <c r="C1220" s="40" t="s">
        <v>669</v>
      </c>
      <c r="D1220" s="75" t="s">
        <v>1271</v>
      </c>
      <c r="E1220" s="75" t="s">
        <v>1266</v>
      </c>
      <c r="F1220" s="75" t="s">
        <v>1267</v>
      </c>
      <c r="G1220" s="75" t="s">
        <v>1268</v>
      </c>
    </row>
    <row r="1221" spans="1:7" x14ac:dyDescent="0.2">
      <c r="A1221" s="40">
        <v>5081</v>
      </c>
      <c r="B1221" s="39" t="s">
        <v>690</v>
      </c>
      <c r="C1221" s="40" t="s">
        <v>669</v>
      </c>
      <c r="D1221" s="75" t="s">
        <v>1269</v>
      </c>
      <c r="E1221" s="75" t="s">
        <v>1266</v>
      </c>
      <c r="F1221" s="75" t="s">
        <v>1268</v>
      </c>
      <c r="G1221" s="75" t="s">
        <v>1268</v>
      </c>
    </row>
    <row r="1222" spans="1:7" x14ac:dyDescent="0.2">
      <c r="A1222" s="40">
        <v>5082</v>
      </c>
      <c r="B1222" s="39" t="s">
        <v>691</v>
      </c>
      <c r="C1222" s="40" t="s">
        <v>669</v>
      </c>
      <c r="D1222" s="75" t="s">
        <v>1269</v>
      </c>
      <c r="E1222" s="75" t="s">
        <v>1266</v>
      </c>
      <c r="F1222" s="75" t="s">
        <v>1268</v>
      </c>
      <c r="G1222" s="75" t="s">
        <v>1268</v>
      </c>
    </row>
    <row r="1223" spans="1:7" x14ac:dyDescent="0.2">
      <c r="A1223" s="40">
        <v>5083</v>
      </c>
      <c r="B1223" s="39" t="s">
        <v>692</v>
      </c>
      <c r="C1223" s="40" t="s">
        <v>669</v>
      </c>
      <c r="D1223" s="75" t="s">
        <v>1269</v>
      </c>
      <c r="E1223" s="75" t="s">
        <v>1266</v>
      </c>
      <c r="F1223" s="75" t="s">
        <v>1268</v>
      </c>
      <c r="G1223" s="75" t="s">
        <v>1268</v>
      </c>
    </row>
    <row r="1224" spans="1:7" x14ac:dyDescent="0.2">
      <c r="A1224" s="40">
        <v>5084</v>
      </c>
      <c r="B1224" s="39" t="s">
        <v>693</v>
      </c>
      <c r="C1224" s="40" t="s">
        <v>669</v>
      </c>
      <c r="D1224" s="75" t="s">
        <v>1269</v>
      </c>
      <c r="E1224" s="75" t="s">
        <v>1266</v>
      </c>
      <c r="F1224" s="75" t="s">
        <v>1268</v>
      </c>
      <c r="G1224" s="75" t="s">
        <v>1268</v>
      </c>
    </row>
    <row r="1225" spans="1:7" x14ac:dyDescent="0.2">
      <c r="A1225" s="40">
        <v>5089</v>
      </c>
      <c r="B1225" s="39" t="s">
        <v>694</v>
      </c>
      <c r="C1225" s="40" t="s">
        <v>669</v>
      </c>
      <c r="D1225" s="75" t="s">
        <v>1271</v>
      </c>
      <c r="E1225" s="75" t="s">
        <v>1266</v>
      </c>
      <c r="F1225" s="75" t="s">
        <v>1267</v>
      </c>
      <c r="G1225" s="75" t="s">
        <v>1268</v>
      </c>
    </row>
    <row r="1226" spans="1:7" x14ac:dyDescent="0.2">
      <c r="A1226" s="40">
        <v>5090</v>
      </c>
      <c r="B1226" s="39" t="s">
        <v>695</v>
      </c>
      <c r="C1226" s="40" t="s">
        <v>669</v>
      </c>
      <c r="D1226" s="75" t="s">
        <v>1269</v>
      </c>
      <c r="E1226" s="75" t="s">
        <v>1266</v>
      </c>
      <c r="F1226" s="75" t="s">
        <v>1268</v>
      </c>
      <c r="G1226" s="75" t="s">
        <v>1268</v>
      </c>
    </row>
    <row r="1227" spans="1:7" x14ac:dyDescent="0.2">
      <c r="A1227" s="40">
        <v>5091</v>
      </c>
      <c r="B1227" s="39" t="s">
        <v>696</v>
      </c>
      <c r="C1227" s="40" t="s">
        <v>669</v>
      </c>
      <c r="D1227" s="75" t="s">
        <v>1269</v>
      </c>
      <c r="E1227" s="75" t="s">
        <v>1266</v>
      </c>
      <c r="F1227" s="75" t="s">
        <v>1268</v>
      </c>
      <c r="G1227" s="75" t="s">
        <v>1268</v>
      </c>
    </row>
    <row r="1228" spans="1:7" x14ac:dyDescent="0.2">
      <c r="A1228" s="40">
        <v>5092</v>
      </c>
      <c r="B1228" s="39" t="s">
        <v>697</v>
      </c>
      <c r="C1228" s="40" t="s">
        <v>669</v>
      </c>
      <c r="D1228" s="75" t="s">
        <v>1269</v>
      </c>
      <c r="E1228" s="75" t="s">
        <v>1266</v>
      </c>
      <c r="F1228" s="75" t="s">
        <v>1268</v>
      </c>
      <c r="G1228" s="75" t="s">
        <v>1267</v>
      </c>
    </row>
    <row r="1229" spans="1:7" x14ac:dyDescent="0.2">
      <c r="A1229" s="40">
        <v>5093</v>
      </c>
      <c r="B1229" s="39" t="s">
        <v>698</v>
      </c>
      <c r="C1229" s="40" t="s">
        <v>669</v>
      </c>
      <c r="D1229" s="75" t="s">
        <v>1269</v>
      </c>
      <c r="E1229" s="75" t="s">
        <v>1266</v>
      </c>
      <c r="F1229" s="75" t="s">
        <v>1268</v>
      </c>
      <c r="G1229" s="75" t="s">
        <v>1267</v>
      </c>
    </row>
    <row r="1230" spans="1:7" x14ac:dyDescent="0.2">
      <c r="A1230" s="40">
        <v>5101</v>
      </c>
      <c r="B1230" s="39" t="s">
        <v>699</v>
      </c>
      <c r="C1230" s="40" t="s">
        <v>669</v>
      </c>
      <c r="D1230" s="75" t="s">
        <v>1269</v>
      </c>
      <c r="E1230" s="75" t="s">
        <v>1266</v>
      </c>
      <c r="F1230" s="75" t="s">
        <v>1268</v>
      </c>
      <c r="G1230" s="75" t="s">
        <v>1268</v>
      </c>
    </row>
    <row r="1231" spans="1:7" x14ac:dyDescent="0.2">
      <c r="A1231" s="40">
        <v>5102</v>
      </c>
      <c r="B1231" s="39" t="s">
        <v>700</v>
      </c>
      <c r="C1231" s="40" t="s">
        <v>669</v>
      </c>
      <c r="D1231" s="75" t="s">
        <v>1269</v>
      </c>
      <c r="E1231" s="75" t="s">
        <v>1266</v>
      </c>
      <c r="F1231" s="75" t="s">
        <v>1268</v>
      </c>
      <c r="G1231" s="75" t="s">
        <v>1268</v>
      </c>
    </row>
    <row r="1232" spans="1:7" x14ac:dyDescent="0.2">
      <c r="A1232" s="40">
        <v>5110</v>
      </c>
      <c r="B1232" s="39" t="s">
        <v>701</v>
      </c>
      <c r="C1232" s="40" t="s">
        <v>669</v>
      </c>
      <c r="D1232" s="75" t="s">
        <v>1269</v>
      </c>
      <c r="E1232" s="75" t="s">
        <v>1266</v>
      </c>
      <c r="F1232" s="75" t="s">
        <v>1268</v>
      </c>
      <c r="G1232" s="75" t="s">
        <v>1268</v>
      </c>
    </row>
    <row r="1233" spans="1:7" x14ac:dyDescent="0.2">
      <c r="A1233" s="40">
        <v>5111</v>
      </c>
      <c r="B1233" s="39" t="s">
        <v>702</v>
      </c>
      <c r="C1233" s="40" t="s">
        <v>669</v>
      </c>
      <c r="D1233" s="75" t="s">
        <v>1269</v>
      </c>
      <c r="E1233" s="75" t="s">
        <v>1266</v>
      </c>
      <c r="F1233" s="75" t="s">
        <v>1268</v>
      </c>
      <c r="G1233" s="75" t="s">
        <v>1268</v>
      </c>
    </row>
    <row r="1234" spans="1:7" x14ac:dyDescent="0.2">
      <c r="A1234" s="40">
        <v>5112</v>
      </c>
      <c r="B1234" s="39" t="s">
        <v>703</v>
      </c>
      <c r="C1234" s="40" t="s">
        <v>669</v>
      </c>
      <c r="D1234" s="75" t="s">
        <v>1269</v>
      </c>
      <c r="E1234" s="75" t="s">
        <v>1266</v>
      </c>
      <c r="F1234" s="75" t="s">
        <v>1268</v>
      </c>
      <c r="G1234" s="75" t="s">
        <v>1268</v>
      </c>
    </row>
    <row r="1235" spans="1:7" x14ac:dyDescent="0.2">
      <c r="A1235" s="40">
        <v>5113</v>
      </c>
      <c r="B1235" s="39" t="s">
        <v>704</v>
      </c>
      <c r="C1235" s="40" t="s">
        <v>669</v>
      </c>
      <c r="D1235" s="75" t="s">
        <v>1269</v>
      </c>
      <c r="E1235" s="75" t="s">
        <v>1266</v>
      </c>
      <c r="F1235" s="75" t="s">
        <v>1268</v>
      </c>
      <c r="G1235" s="75" t="s">
        <v>1267</v>
      </c>
    </row>
    <row r="1236" spans="1:7" x14ac:dyDescent="0.2">
      <c r="A1236" s="40">
        <v>5114</v>
      </c>
      <c r="B1236" s="39" t="s">
        <v>705</v>
      </c>
      <c r="C1236" s="40" t="s">
        <v>669</v>
      </c>
      <c r="D1236" s="75" t="s">
        <v>1269</v>
      </c>
      <c r="E1236" s="75" t="s">
        <v>1266</v>
      </c>
      <c r="F1236" s="75" t="s">
        <v>1268</v>
      </c>
      <c r="G1236" s="75" t="s">
        <v>1267</v>
      </c>
    </row>
    <row r="1237" spans="1:7" x14ac:dyDescent="0.2">
      <c r="A1237" s="40">
        <v>5120</v>
      </c>
      <c r="B1237" s="39" t="s">
        <v>1699</v>
      </c>
      <c r="C1237" s="40" t="s">
        <v>520</v>
      </c>
      <c r="D1237" s="75" t="s">
        <v>1269</v>
      </c>
      <c r="E1237" s="75" t="s">
        <v>1266</v>
      </c>
      <c r="F1237" s="75" t="s">
        <v>1268</v>
      </c>
      <c r="G1237" s="75" t="s">
        <v>1267</v>
      </c>
    </row>
    <row r="1238" spans="1:7" x14ac:dyDescent="0.2">
      <c r="A1238" s="40">
        <v>5121</v>
      </c>
      <c r="B1238" s="39" t="s">
        <v>706</v>
      </c>
      <c r="C1238" s="40" t="s">
        <v>520</v>
      </c>
      <c r="D1238" s="75" t="s">
        <v>1269</v>
      </c>
      <c r="E1238" s="75" t="s">
        <v>1266</v>
      </c>
      <c r="F1238" s="75" t="s">
        <v>1268</v>
      </c>
      <c r="G1238" s="75" t="s">
        <v>1268</v>
      </c>
    </row>
    <row r="1239" spans="1:7" x14ac:dyDescent="0.2">
      <c r="A1239" s="40">
        <v>5122</v>
      </c>
      <c r="B1239" s="39" t="s">
        <v>707</v>
      </c>
      <c r="C1239" s="40" t="s">
        <v>520</v>
      </c>
      <c r="D1239" s="75" t="s">
        <v>1269</v>
      </c>
      <c r="E1239" s="75" t="s">
        <v>1266</v>
      </c>
      <c r="F1239" s="75" t="s">
        <v>1268</v>
      </c>
      <c r="G1239" s="75" t="s">
        <v>1268</v>
      </c>
    </row>
    <row r="1240" spans="1:7" x14ac:dyDescent="0.2">
      <c r="A1240" s="40">
        <v>5131</v>
      </c>
      <c r="B1240" s="39" t="s">
        <v>708</v>
      </c>
      <c r="C1240" s="40" t="s">
        <v>520</v>
      </c>
      <c r="D1240" s="75" t="s">
        <v>1269</v>
      </c>
      <c r="E1240" s="75" t="s">
        <v>1266</v>
      </c>
      <c r="F1240" s="75" t="s">
        <v>1268</v>
      </c>
      <c r="G1240" s="75" t="s">
        <v>1267</v>
      </c>
    </row>
    <row r="1241" spans="1:7" x14ac:dyDescent="0.2">
      <c r="A1241" s="40">
        <v>5132</v>
      </c>
      <c r="B1241" s="39" t="s">
        <v>709</v>
      </c>
      <c r="C1241" s="40" t="s">
        <v>520</v>
      </c>
      <c r="D1241" s="75" t="s">
        <v>1269</v>
      </c>
      <c r="E1241" s="75" t="s">
        <v>1266</v>
      </c>
      <c r="F1241" s="75" t="s">
        <v>1268</v>
      </c>
      <c r="G1241" s="75" t="s">
        <v>1267</v>
      </c>
    </row>
    <row r="1242" spans="1:7" x14ac:dyDescent="0.2">
      <c r="A1242" s="40">
        <v>5133</v>
      </c>
      <c r="B1242" s="39" t="s">
        <v>710</v>
      </c>
      <c r="C1242" s="40" t="s">
        <v>520</v>
      </c>
      <c r="D1242" s="75" t="s">
        <v>1269</v>
      </c>
      <c r="E1242" s="75" t="s">
        <v>1266</v>
      </c>
      <c r="F1242" s="75" t="s">
        <v>1268</v>
      </c>
      <c r="G1242" s="75" t="s">
        <v>1267</v>
      </c>
    </row>
    <row r="1243" spans="1:7" x14ac:dyDescent="0.2">
      <c r="A1243" s="40">
        <v>5134</v>
      </c>
      <c r="B1243" s="39" t="s">
        <v>711</v>
      </c>
      <c r="C1243" s="40" t="s">
        <v>520</v>
      </c>
      <c r="D1243" s="75" t="s">
        <v>1269</v>
      </c>
      <c r="E1243" s="75" t="s">
        <v>1266</v>
      </c>
      <c r="F1243" s="75" t="s">
        <v>1268</v>
      </c>
      <c r="G1243" s="75" t="s">
        <v>1267</v>
      </c>
    </row>
    <row r="1244" spans="1:7" x14ac:dyDescent="0.2">
      <c r="A1244" s="40">
        <v>5141</v>
      </c>
      <c r="B1244" s="39" t="s">
        <v>712</v>
      </c>
      <c r="C1244" s="40" t="s">
        <v>520</v>
      </c>
      <c r="D1244" s="75" t="s">
        <v>1269</v>
      </c>
      <c r="E1244" s="75" t="s">
        <v>1266</v>
      </c>
      <c r="F1244" s="75" t="s">
        <v>1268</v>
      </c>
      <c r="G1244" s="75" t="s">
        <v>1267</v>
      </c>
    </row>
    <row r="1245" spans="1:7" x14ac:dyDescent="0.2">
      <c r="A1245" s="40">
        <v>5142</v>
      </c>
      <c r="B1245" s="39" t="s">
        <v>713</v>
      </c>
      <c r="C1245" s="40" t="s">
        <v>520</v>
      </c>
      <c r="D1245" s="75" t="s">
        <v>1269</v>
      </c>
      <c r="E1245" s="75" t="s">
        <v>1266</v>
      </c>
      <c r="F1245" s="75" t="s">
        <v>1268</v>
      </c>
      <c r="G1245" s="75" t="s">
        <v>1268</v>
      </c>
    </row>
    <row r="1246" spans="1:7" x14ac:dyDescent="0.2">
      <c r="A1246" s="40">
        <v>5143</v>
      </c>
      <c r="B1246" s="39" t="s">
        <v>714</v>
      </c>
      <c r="C1246" s="40" t="s">
        <v>520</v>
      </c>
      <c r="D1246" s="75" t="s">
        <v>1269</v>
      </c>
      <c r="E1246" s="75" t="s">
        <v>1266</v>
      </c>
      <c r="F1246" s="75" t="s">
        <v>1268</v>
      </c>
      <c r="G1246" s="75" t="s">
        <v>1267</v>
      </c>
    </row>
    <row r="1247" spans="1:7" x14ac:dyDescent="0.2">
      <c r="A1247" s="40">
        <v>5144</v>
      </c>
      <c r="B1247" s="39" t="s">
        <v>715</v>
      </c>
      <c r="C1247" s="40" t="s">
        <v>520</v>
      </c>
      <c r="D1247" s="75" t="s">
        <v>1269</v>
      </c>
      <c r="E1247" s="75" t="s">
        <v>1266</v>
      </c>
      <c r="F1247" s="75" t="s">
        <v>1268</v>
      </c>
      <c r="G1247" s="75" t="s">
        <v>1267</v>
      </c>
    </row>
    <row r="1248" spans="1:7" x14ac:dyDescent="0.2">
      <c r="A1248" s="40">
        <v>5145</v>
      </c>
      <c r="B1248" s="39" t="s">
        <v>716</v>
      </c>
      <c r="C1248" s="40" t="s">
        <v>520</v>
      </c>
      <c r="D1248" s="75" t="s">
        <v>1269</v>
      </c>
      <c r="E1248" s="75" t="s">
        <v>1266</v>
      </c>
      <c r="F1248" s="75" t="s">
        <v>1268</v>
      </c>
      <c r="G1248" s="75" t="s">
        <v>1268</v>
      </c>
    </row>
    <row r="1249" spans="1:7" x14ac:dyDescent="0.2">
      <c r="A1249" s="40">
        <v>5151</v>
      </c>
      <c r="B1249" s="39" t="s">
        <v>717</v>
      </c>
      <c r="C1249" s="40" t="s">
        <v>669</v>
      </c>
      <c r="D1249" s="75" t="s">
        <v>1269</v>
      </c>
      <c r="E1249" s="75" t="s">
        <v>1266</v>
      </c>
      <c r="F1249" s="75" t="s">
        <v>1268</v>
      </c>
      <c r="G1249" s="75" t="s">
        <v>1267</v>
      </c>
    </row>
    <row r="1250" spans="1:7" x14ac:dyDescent="0.2">
      <c r="A1250" s="40">
        <v>5152</v>
      </c>
      <c r="B1250" s="39" t="s">
        <v>718</v>
      </c>
      <c r="C1250" s="40" t="s">
        <v>669</v>
      </c>
      <c r="D1250" s="75" t="s">
        <v>1269</v>
      </c>
      <c r="E1250" s="75" t="s">
        <v>1266</v>
      </c>
      <c r="F1250" s="75" t="s">
        <v>1268</v>
      </c>
      <c r="G1250" s="75" t="s">
        <v>1267</v>
      </c>
    </row>
    <row r="1251" spans="1:7" x14ac:dyDescent="0.2">
      <c r="A1251" s="40">
        <v>5161</v>
      </c>
      <c r="B1251" s="39" t="s">
        <v>719</v>
      </c>
      <c r="C1251" s="40" t="s">
        <v>669</v>
      </c>
      <c r="D1251" s="75" t="s">
        <v>1269</v>
      </c>
      <c r="E1251" s="75" t="s">
        <v>1266</v>
      </c>
      <c r="F1251" s="75" t="s">
        <v>1268</v>
      </c>
      <c r="G1251" s="75" t="s">
        <v>1268</v>
      </c>
    </row>
    <row r="1252" spans="1:7" x14ac:dyDescent="0.2">
      <c r="A1252" s="40">
        <v>5162</v>
      </c>
      <c r="B1252" s="39" t="s">
        <v>720</v>
      </c>
      <c r="C1252" s="40" t="s">
        <v>669</v>
      </c>
      <c r="D1252" s="75" t="s">
        <v>1269</v>
      </c>
      <c r="E1252" s="75" t="s">
        <v>1266</v>
      </c>
      <c r="F1252" s="75" t="s">
        <v>1268</v>
      </c>
      <c r="G1252" s="75" t="s">
        <v>1268</v>
      </c>
    </row>
    <row r="1253" spans="1:7" x14ac:dyDescent="0.2">
      <c r="A1253" s="40">
        <v>5163</v>
      </c>
      <c r="B1253" s="39" t="s">
        <v>721</v>
      </c>
      <c r="C1253" s="40" t="s">
        <v>669</v>
      </c>
      <c r="D1253" s="75" t="s">
        <v>1269</v>
      </c>
      <c r="E1253" s="75" t="s">
        <v>1266</v>
      </c>
      <c r="F1253" s="75" t="s">
        <v>1268</v>
      </c>
      <c r="G1253" s="75" t="s">
        <v>1268</v>
      </c>
    </row>
    <row r="1254" spans="1:7" x14ac:dyDescent="0.2">
      <c r="A1254" s="40">
        <v>5164</v>
      </c>
      <c r="B1254" s="39" t="s">
        <v>722</v>
      </c>
      <c r="C1254" s="40" t="s">
        <v>669</v>
      </c>
      <c r="D1254" s="75" t="s">
        <v>1269</v>
      </c>
      <c r="E1254" s="75" t="s">
        <v>1266</v>
      </c>
      <c r="F1254" s="75" t="s">
        <v>1268</v>
      </c>
      <c r="G1254" s="75" t="s">
        <v>1267</v>
      </c>
    </row>
    <row r="1255" spans="1:7" x14ac:dyDescent="0.2">
      <c r="A1255" s="40">
        <v>5165</v>
      </c>
      <c r="B1255" s="39" t="s">
        <v>723</v>
      </c>
      <c r="C1255" s="40" t="s">
        <v>669</v>
      </c>
      <c r="D1255" s="75" t="s">
        <v>1269</v>
      </c>
      <c r="E1255" s="75" t="s">
        <v>1266</v>
      </c>
      <c r="F1255" s="75" t="s">
        <v>1268</v>
      </c>
      <c r="G1255" s="75" t="s">
        <v>1268</v>
      </c>
    </row>
    <row r="1256" spans="1:7" x14ac:dyDescent="0.2">
      <c r="A1256" s="40">
        <v>5201</v>
      </c>
      <c r="B1256" s="39" t="s">
        <v>724</v>
      </c>
      <c r="C1256" s="40" t="s">
        <v>669</v>
      </c>
      <c r="D1256" s="75" t="s">
        <v>1269</v>
      </c>
      <c r="E1256" s="75" t="s">
        <v>1266</v>
      </c>
      <c r="F1256" s="75" t="s">
        <v>1268</v>
      </c>
      <c r="G1256" s="75" t="s">
        <v>1268</v>
      </c>
    </row>
    <row r="1257" spans="1:7" x14ac:dyDescent="0.2">
      <c r="A1257" s="40">
        <v>5202</v>
      </c>
      <c r="B1257" s="39" t="s">
        <v>725</v>
      </c>
      <c r="C1257" s="40" t="s">
        <v>669</v>
      </c>
      <c r="D1257" s="75" t="s">
        <v>1269</v>
      </c>
      <c r="E1257" s="75" t="s">
        <v>1266</v>
      </c>
      <c r="F1257" s="75" t="s">
        <v>1268</v>
      </c>
      <c r="G1257" s="75" t="s">
        <v>1268</v>
      </c>
    </row>
    <row r="1258" spans="1:7" x14ac:dyDescent="0.2">
      <c r="A1258" s="40">
        <v>5203</v>
      </c>
      <c r="B1258" s="39" t="s">
        <v>726</v>
      </c>
      <c r="C1258" s="40" t="s">
        <v>669</v>
      </c>
      <c r="D1258" s="75" t="s">
        <v>1269</v>
      </c>
      <c r="E1258" s="75" t="s">
        <v>1266</v>
      </c>
      <c r="F1258" s="75" t="s">
        <v>1268</v>
      </c>
      <c r="G1258" s="75" t="s">
        <v>1267</v>
      </c>
    </row>
    <row r="1259" spans="1:7" x14ac:dyDescent="0.2">
      <c r="A1259" s="40">
        <v>5204</v>
      </c>
      <c r="B1259" s="39" t="s">
        <v>727</v>
      </c>
      <c r="C1259" s="40" t="s">
        <v>669</v>
      </c>
      <c r="D1259" s="75" t="s">
        <v>1269</v>
      </c>
      <c r="E1259" s="75" t="s">
        <v>1266</v>
      </c>
      <c r="F1259" s="75" t="s">
        <v>1268</v>
      </c>
      <c r="G1259" s="75" t="s">
        <v>1268</v>
      </c>
    </row>
    <row r="1260" spans="1:7" x14ac:dyDescent="0.2">
      <c r="A1260" s="40">
        <v>5205</v>
      </c>
      <c r="B1260" s="39" t="s">
        <v>728</v>
      </c>
      <c r="C1260" s="40" t="s">
        <v>669</v>
      </c>
      <c r="D1260" s="75" t="s">
        <v>1269</v>
      </c>
      <c r="E1260" s="75" t="s">
        <v>1266</v>
      </c>
      <c r="F1260" s="75" t="s">
        <v>1268</v>
      </c>
      <c r="G1260" s="75" t="s">
        <v>1267</v>
      </c>
    </row>
    <row r="1261" spans="1:7" x14ac:dyDescent="0.2">
      <c r="A1261" s="40">
        <v>5211</v>
      </c>
      <c r="B1261" s="39" t="s">
        <v>729</v>
      </c>
      <c r="C1261" s="40" t="s">
        <v>520</v>
      </c>
      <c r="D1261" s="75" t="s">
        <v>1269</v>
      </c>
      <c r="E1261" s="75" t="s">
        <v>1266</v>
      </c>
      <c r="F1261" s="75" t="s">
        <v>1268</v>
      </c>
      <c r="G1261" s="75" t="s">
        <v>1268</v>
      </c>
    </row>
    <row r="1262" spans="1:7" x14ac:dyDescent="0.2">
      <c r="A1262" s="40">
        <v>5212</v>
      </c>
      <c r="B1262" s="39" t="s">
        <v>730</v>
      </c>
      <c r="C1262" s="40" t="s">
        <v>520</v>
      </c>
      <c r="D1262" s="75" t="s">
        <v>1269</v>
      </c>
      <c r="E1262" s="75" t="s">
        <v>1266</v>
      </c>
      <c r="F1262" s="75" t="s">
        <v>1268</v>
      </c>
      <c r="G1262" s="75" t="s">
        <v>1267</v>
      </c>
    </row>
    <row r="1263" spans="1:7" x14ac:dyDescent="0.2">
      <c r="A1263" s="40">
        <v>5221</v>
      </c>
      <c r="B1263" s="39" t="s">
        <v>731</v>
      </c>
      <c r="C1263" s="40" t="s">
        <v>520</v>
      </c>
      <c r="D1263" s="75" t="s">
        <v>1269</v>
      </c>
      <c r="E1263" s="75" t="s">
        <v>1266</v>
      </c>
      <c r="F1263" s="75" t="s">
        <v>1268</v>
      </c>
      <c r="G1263" s="75" t="s">
        <v>1268</v>
      </c>
    </row>
    <row r="1264" spans="1:7" x14ac:dyDescent="0.2">
      <c r="A1264" s="40">
        <v>5222</v>
      </c>
      <c r="B1264" s="39" t="s">
        <v>732</v>
      </c>
      <c r="C1264" s="40" t="s">
        <v>520</v>
      </c>
      <c r="D1264" s="75" t="s">
        <v>1269</v>
      </c>
      <c r="E1264" s="75" t="s">
        <v>1266</v>
      </c>
      <c r="F1264" s="75" t="s">
        <v>1268</v>
      </c>
      <c r="G1264" s="75" t="s">
        <v>1268</v>
      </c>
    </row>
    <row r="1265" spans="1:7" x14ac:dyDescent="0.2">
      <c r="A1265" s="40">
        <v>5223</v>
      </c>
      <c r="B1265" s="39" t="s">
        <v>733</v>
      </c>
      <c r="C1265" s="40" t="s">
        <v>520</v>
      </c>
      <c r="D1265" s="75" t="s">
        <v>1269</v>
      </c>
      <c r="E1265" s="75" t="s">
        <v>1266</v>
      </c>
      <c r="F1265" s="75" t="s">
        <v>1268</v>
      </c>
      <c r="G1265" s="75" t="s">
        <v>1267</v>
      </c>
    </row>
    <row r="1266" spans="1:7" x14ac:dyDescent="0.2">
      <c r="A1266" s="40">
        <v>5224</v>
      </c>
      <c r="B1266" s="39" t="s">
        <v>734</v>
      </c>
      <c r="C1266" s="40" t="s">
        <v>520</v>
      </c>
      <c r="D1266" s="75" t="s">
        <v>1269</v>
      </c>
      <c r="E1266" s="75" t="s">
        <v>1266</v>
      </c>
      <c r="F1266" s="75" t="s">
        <v>1268</v>
      </c>
      <c r="G1266" s="75" t="s">
        <v>1267</v>
      </c>
    </row>
    <row r="1267" spans="1:7" x14ac:dyDescent="0.2">
      <c r="A1267" s="40">
        <v>5225</v>
      </c>
      <c r="B1267" s="39" t="s">
        <v>735</v>
      </c>
      <c r="C1267" s="40" t="s">
        <v>520</v>
      </c>
      <c r="D1267" s="75" t="s">
        <v>1269</v>
      </c>
      <c r="E1267" s="75" t="s">
        <v>1266</v>
      </c>
      <c r="F1267" s="75" t="s">
        <v>1268</v>
      </c>
      <c r="G1267" s="75" t="s">
        <v>1267</v>
      </c>
    </row>
    <row r="1268" spans="1:7" x14ac:dyDescent="0.2">
      <c r="A1268" s="40">
        <v>5230</v>
      </c>
      <c r="B1268" s="39" t="s">
        <v>736</v>
      </c>
      <c r="C1268" s="40" t="s">
        <v>520</v>
      </c>
      <c r="D1268" s="75" t="s">
        <v>1269</v>
      </c>
      <c r="E1268" s="75" t="s">
        <v>1266</v>
      </c>
      <c r="F1268" s="75" t="s">
        <v>1268</v>
      </c>
      <c r="G1268" s="75" t="s">
        <v>1268</v>
      </c>
    </row>
    <row r="1269" spans="1:7" x14ac:dyDescent="0.2">
      <c r="A1269" s="40">
        <v>5231</v>
      </c>
      <c r="B1269" s="39" t="s">
        <v>737</v>
      </c>
      <c r="C1269" s="40" t="s">
        <v>520</v>
      </c>
      <c r="D1269" s="75" t="s">
        <v>1269</v>
      </c>
      <c r="E1269" s="75" t="s">
        <v>1266</v>
      </c>
      <c r="F1269" s="75" t="s">
        <v>1268</v>
      </c>
      <c r="G1269" s="75" t="s">
        <v>1267</v>
      </c>
    </row>
    <row r="1270" spans="1:7" x14ac:dyDescent="0.2">
      <c r="A1270" s="40">
        <v>5232</v>
      </c>
      <c r="B1270" s="39" t="s">
        <v>2107</v>
      </c>
      <c r="C1270" s="40" t="s">
        <v>520</v>
      </c>
      <c r="D1270" s="75" t="s">
        <v>1269</v>
      </c>
      <c r="E1270" s="75" t="s">
        <v>1266</v>
      </c>
      <c r="F1270" s="75" t="s">
        <v>1268</v>
      </c>
      <c r="G1270" s="75" t="s">
        <v>1267</v>
      </c>
    </row>
    <row r="1271" spans="1:7" x14ac:dyDescent="0.2">
      <c r="A1271" s="40">
        <v>5233</v>
      </c>
      <c r="B1271" s="39" t="s">
        <v>2108</v>
      </c>
      <c r="C1271" s="40" t="s">
        <v>520</v>
      </c>
      <c r="D1271" s="75" t="s">
        <v>1269</v>
      </c>
      <c r="E1271" s="75" t="s">
        <v>1266</v>
      </c>
      <c r="F1271" s="75" t="s">
        <v>1268</v>
      </c>
      <c r="G1271" s="75" t="s">
        <v>1267</v>
      </c>
    </row>
    <row r="1272" spans="1:7" x14ac:dyDescent="0.2">
      <c r="A1272" s="40">
        <v>5241</v>
      </c>
      <c r="B1272" s="39" t="s">
        <v>2109</v>
      </c>
      <c r="C1272" s="40" t="s">
        <v>520</v>
      </c>
      <c r="D1272" s="75" t="s">
        <v>1269</v>
      </c>
      <c r="E1272" s="75" t="s">
        <v>1266</v>
      </c>
      <c r="F1272" s="75" t="s">
        <v>1268</v>
      </c>
      <c r="G1272" s="75" t="s">
        <v>1267</v>
      </c>
    </row>
    <row r="1273" spans="1:7" x14ac:dyDescent="0.2">
      <c r="A1273" s="40">
        <v>5242</v>
      </c>
      <c r="B1273" s="39" t="s">
        <v>2110</v>
      </c>
      <c r="C1273" s="40" t="s">
        <v>520</v>
      </c>
      <c r="D1273" s="75" t="s">
        <v>1269</v>
      </c>
      <c r="E1273" s="75" t="s">
        <v>1266</v>
      </c>
      <c r="F1273" s="75" t="s">
        <v>1268</v>
      </c>
      <c r="G1273" s="75" t="s">
        <v>1267</v>
      </c>
    </row>
    <row r="1274" spans="1:7" x14ac:dyDescent="0.2">
      <c r="A1274" s="40">
        <v>5251</v>
      </c>
      <c r="B1274" s="39" t="s">
        <v>2111</v>
      </c>
      <c r="C1274" s="40" t="s">
        <v>520</v>
      </c>
      <c r="D1274" s="75" t="s">
        <v>1269</v>
      </c>
      <c r="E1274" s="75" t="s">
        <v>1266</v>
      </c>
      <c r="F1274" s="75" t="s">
        <v>1268</v>
      </c>
      <c r="G1274" s="75" t="s">
        <v>1268</v>
      </c>
    </row>
    <row r="1275" spans="1:7" x14ac:dyDescent="0.2">
      <c r="A1275" s="40">
        <v>5252</v>
      </c>
      <c r="B1275" s="39" t="s">
        <v>2112</v>
      </c>
      <c r="C1275" s="40" t="s">
        <v>520</v>
      </c>
      <c r="D1275" s="75" t="s">
        <v>1269</v>
      </c>
      <c r="E1275" s="75" t="s">
        <v>1266</v>
      </c>
      <c r="F1275" s="75" t="s">
        <v>1268</v>
      </c>
      <c r="G1275" s="75" t="s">
        <v>1268</v>
      </c>
    </row>
    <row r="1276" spans="1:7" x14ac:dyDescent="0.2">
      <c r="A1276" s="40">
        <v>5261</v>
      </c>
      <c r="B1276" s="39" t="s">
        <v>2113</v>
      </c>
      <c r="C1276" s="40" t="s">
        <v>520</v>
      </c>
      <c r="D1276" s="75" t="s">
        <v>1269</v>
      </c>
      <c r="E1276" s="75" t="s">
        <v>1266</v>
      </c>
      <c r="F1276" s="75" t="s">
        <v>1268</v>
      </c>
      <c r="G1276" s="75" t="s">
        <v>1268</v>
      </c>
    </row>
    <row r="1277" spans="1:7" x14ac:dyDescent="0.2">
      <c r="A1277" s="40">
        <v>5270</v>
      </c>
      <c r="B1277" s="39" t="s">
        <v>2114</v>
      </c>
      <c r="C1277" s="40" t="s">
        <v>520</v>
      </c>
      <c r="D1277" s="75" t="s">
        <v>1269</v>
      </c>
      <c r="E1277" s="75" t="s">
        <v>1266</v>
      </c>
      <c r="F1277" s="75" t="s">
        <v>1268</v>
      </c>
      <c r="G1277" s="75" t="s">
        <v>1268</v>
      </c>
    </row>
    <row r="1278" spans="1:7" x14ac:dyDescent="0.2">
      <c r="A1278" s="40">
        <v>5271</v>
      </c>
      <c r="B1278" s="39" t="s">
        <v>2115</v>
      </c>
      <c r="C1278" s="40" t="s">
        <v>520</v>
      </c>
      <c r="D1278" s="75" t="s">
        <v>1269</v>
      </c>
      <c r="E1278" s="75" t="s">
        <v>1266</v>
      </c>
      <c r="F1278" s="75" t="s">
        <v>1268</v>
      </c>
      <c r="G1278" s="75" t="s">
        <v>1267</v>
      </c>
    </row>
    <row r="1279" spans="1:7" x14ac:dyDescent="0.2">
      <c r="A1279" s="40">
        <v>5272</v>
      </c>
      <c r="B1279" s="39" t="s">
        <v>2116</v>
      </c>
      <c r="C1279" s="40" t="s">
        <v>520</v>
      </c>
      <c r="D1279" s="75" t="s">
        <v>1269</v>
      </c>
      <c r="E1279" s="75" t="s">
        <v>1266</v>
      </c>
      <c r="F1279" s="75" t="s">
        <v>1268</v>
      </c>
      <c r="G1279" s="75" t="s">
        <v>1267</v>
      </c>
    </row>
    <row r="1280" spans="1:7" x14ac:dyDescent="0.2">
      <c r="A1280" s="40">
        <v>5273</v>
      </c>
      <c r="B1280" s="39" t="s">
        <v>2117</v>
      </c>
      <c r="C1280" s="40" t="s">
        <v>520</v>
      </c>
      <c r="D1280" s="75" t="s">
        <v>1269</v>
      </c>
      <c r="E1280" s="75" t="s">
        <v>1266</v>
      </c>
      <c r="F1280" s="75" t="s">
        <v>1268</v>
      </c>
      <c r="G1280" s="75" t="s">
        <v>1267</v>
      </c>
    </row>
    <row r="1281" spans="1:7" x14ac:dyDescent="0.2">
      <c r="A1281" s="40">
        <v>5274</v>
      </c>
      <c r="B1281" s="39" t="s">
        <v>2118</v>
      </c>
      <c r="C1281" s="40" t="s">
        <v>520</v>
      </c>
      <c r="D1281" s="75" t="s">
        <v>1269</v>
      </c>
      <c r="E1281" s="75" t="s">
        <v>1266</v>
      </c>
      <c r="F1281" s="75" t="s">
        <v>1268</v>
      </c>
      <c r="G1281" s="75" t="s">
        <v>1267</v>
      </c>
    </row>
    <row r="1282" spans="1:7" x14ac:dyDescent="0.2">
      <c r="A1282" s="40">
        <v>5280</v>
      </c>
      <c r="B1282" s="39" t="s">
        <v>2119</v>
      </c>
      <c r="C1282" s="40" t="s">
        <v>520</v>
      </c>
      <c r="D1282" s="75" t="s">
        <v>1269</v>
      </c>
      <c r="E1282" s="75" t="s">
        <v>1266</v>
      </c>
      <c r="F1282" s="75" t="s">
        <v>1268</v>
      </c>
      <c r="G1282" s="75" t="s">
        <v>1268</v>
      </c>
    </row>
    <row r="1283" spans="1:7" x14ac:dyDescent="0.2">
      <c r="A1283" s="40">
        <v>5282</v>
      </c>
      <c r="B1283" s="39" t="s">
        <v>2120</v>
      </c>
      <c r="C1283" s="40" t="s">
        <v>520</v>
      </c>
      <c r="D1283" s="75" t="s">
        <v>1269</v>
      </c>
      <c r="E1283" s="75" t="s">
        <v>1266</v>
      </c>
      <c r="F1283" s="75" t="s">
        <v>1268</v>
      </c>
      <c r="G1283" s="75" t="s">
        <v>1268</v>
      </c>
    </row>
    <row r="1284" spans="1:7" x14ac:dyDescent="0.2">
      <c r="A1284" s="40">
        <v>5300</v>
      </c>
      <c r="B1284" s="39" t="s">
        <v>2121</v>
      </c>
      <c r="C1284" s="40" t="s">
        <v>669</v>
      </c>
      <c r="D1284" s="75" t="s">
        <v>1269</v>
      </c>
      <c r="E1284" s="75" t="s">
        <v>1266</v>
      </c>
      <c r="F1284" s="75" t="s">
        <v>1268</v>
      </c>
      <c r="G1284" s="75" t="s">
        <v>1268</v>
      </c>
    </row>
    <row r="1285" spans="1:7" x14ac:dyDescent="0.2">
      <c r="A1285" s="40">
        <v>5301</v>
      </c>
      <c r="B1285" s="39" t="s">
        <v>2122</v>
      </c>
      <c r="C1285" s="40" t="s">
        <v>669</v>
      </c>
      <c r="D1285" s="75" t="s">
        <v>1269</v>
      </c>
      <c r="E1285" s="75" t="s">
        <v>1266</v>
      </c>
      <c r="F1285" s="75" t="s">
        <v>1268</v>
      </c>
      <c r="G1285" s="75" t="s">
        <v>1268</v>
      </c>
    </row>
    <row r="1286" spans="1:7" x14ac:dyDescent="0.2">
      <c r="A1286" s="40">
        <v>5302</v>
      </c>
      <c r="B1286" s="39" t="s">
        <v>2123</v>
      </c>
      <c r="C1286" s="40" t="s">
        <v>669</v>
      </c>
      <c r="D1286" s="75" t="s">
        <v>1269</v>
      </c>
      <c r="E1286" s="75" t="s">
        <v>1266</v>
      </c>
      <c r="F1286" s="75" t="s">
        <v>1268</v>
      </c>
      <c r="G1286" s="75" t="s">
        <v>1268</v>
      </c>
    </row>
    <row r="1287" spans="1:7" x14ac:dyDescent="0.2">
      <c r="A1287" s="40">
        <v>5303</v>
      </c>
      <c r="B1287" s="39" t="s">
        <v>2124</v>
      </c>
      <c r="C1287" s="40" t="s">
        <v>669</v>
      </c>
      <c r="D1287" s="75" t="s">
        <v>1269</v>
      </c>
      <c r="E1287" s="75" t="s">
        <v>1266</v>
      </c>
      <c r="F1287" s="75" t="s">
        <v>1268</v>
      </c>
      <c r="G1287" s="75" t="s">
        <v>1268</v>
      </c>
    </row>
    <row r="1288" spans="1:7" x14ac:dyDescent="0.2">
      <c r="A1288" s="40">
        <v>5310</v>
      </c>
      <c r="B1288" s="39" t="s">
        <v>223</v>
      </c>
      <c r="C1288" s="40" t="s">
        <v>520</v>
      </c>
      <c r="D1288" s="75" t="s">
        <v>1269</v>
      </c>
      <c r="E1288" s="75" t="s">
        <v>1266</v>
      </c>
      <c r="F1288" s="75" t="s">
        <v>1268</v>
      </c>
      <c r="G1288" s="75" t="s">
        <v>1268</v>
      </c>
    </row>
    <row r="1289" spans="1:7" x14ac:dyDescent="0.2">
      <c r="A1289" s="40">
        <v>5311</v>
      </c>
      <c r="B1289" s="39" t="s">
        <v>2125</v>
      </c>
      <c r="C1289" s="40" t="s">
        <v>520</v>
      </c>
      <c r="D1289" s="75" t="s">
        <v>1269</v>
      </c>
      <c r="E1289" s="75" t="s">
        <v>1266</v>
      </c>
      <c r="F1289" s="75" t="s">
        <v>1268</v>
      </c>
      <c r="G1289" s="75" t="s">
        <v>1267</v>
      </c>
    </row>
    <row r="1290" spans="1:7" x14ac:dyDescent="0.2">
      <c r="A1290" s="40">
        <v>5321</v>
      </c>
      <c r="B1290" s="39" t="s">
        <v>2126</v>
      </c>
      <c r="C1290" s="40" t="s">
        <v>669</v>
      </c>
      <c r="D1290" s="75" t="s">
        <v>1269</v>
      </c>
      <c r="E1290" s="75" t="s">
        <v>1266</v>
      </c>
      <c r="F1290" s="75" t="s">
        <v>1268</v>
      </c>
      <c r="G1290" s="75" t="s">
        <v>1267</v>
      </c>
    </row>
    <row r="1291" spans="1:7" x14ac:dyDescent="0.2">
      <c r="A1291" s="40">
        <v>5322</v>
      </c>
      <c r="B1291" s="39" t="s">
        <v>2127</v>
      </c>
      <c r="C1291" s="40" t="s">
        <v>669</v>
      </c>
      <c r="D1291" s="75" t="s">
        <v>1269</v>
      </c>
      <c r="E1291" s="75" t="s">
        <v>1266</v>
      </c>
      <c r="F1291" s="75" t="s">
        <v>1268</v>
      </c>
      <c r="G1291" s="75" t="s">
        <v>1268</v>
      </c>
    </row>
    <row r="1292" spans="1:7" x14ac:dyDescent="0.2">
      <c r="A1292" s="40">
        <v>5323</v>
      </c>
      <c r="B1292" s="39" t="s">
        <v>2128</v>
      </c>
      <c r="C1292" s="40" t="s">
        <v>669</v>
      </c>
      <c r="D1292" s="75" t="s">
        <v>1269</v>
      </c>
      <c r="E1292" s="75" t="s">
        <v>1266</v>
      </c>
      <c r="F1292" s="75" t="s">
        <v>1268</v>
      </c>
      <c r="G1292" s="75" t="s">
        <v>1267</v>
      </c>
    </row>
    <row r="1293" spans="1:7" x14ac:dyDescent="0.2">
      <c r="A1293" s="40">
        <v>5324</v>
      </c>
      <c r="B1293" s="39" t="s">
        <v>2129</v>
      </c>
      <c r="C1293" s="40" t="s">
        <v>669</v>
      </c>
      <c r="D1293" s="75" t="s">
        <v>1269</v>
      </c>
      <c r="E1293" s="75" t="s">
        <v>1266</v>
      </c>
      <c r="F1293" s="75" t="s">
        <v>1268</v>
      </c>
      <c r="G1293" s="75" t="s">
        <v>1268</v>
      </c>
    </row>
    <row r="1294" spans="1:7" x14ac:dyDescent="0.2">
      <c r="A1294" s="40">
        <v>5325</v>
      </c>
      <c r="B1294" s="39" t="s">
        <v>2130</v>
      </c>
      <c r="C1294" s="40" t="s">
        <v>669</v>
      </c>
      <c r="D1294" s="75" t="s">
        <v>1269</v>
      </c>
      <c r="E1294" s="75" t="s">
        <v>1266</v>
      </c>
      <c r="F1294" s="75" t="s">
        <v>1268</v>
      </c>
      <c r="G1294" s="75" t="s">
        <v>1267</v>
      </c>
    </row>
    <row r="1295" spans="1:7" x14ac:dyDescent="0.2">
      <c r="A1295" s="40">
        <v>5330</v>
      </c>
      <c r="B1295" s="39" t="s">
        <v>2131</v>
      </c>
      <c r="C1295" s="40" t="s">
        <v>669</v>
      </c>
      <c r="D1295" s="75" t="s">
        <v>1269</v>
      </c>
      <c r="E1295" s="75" t="s">
        <v>1266</v>
      </c>
      <c r="F1295" s="75" t="s">
        <v>1268</v>
      </c>
      <c r="G1295" s="75" t="s">
        <v>1268</v>
      </c>
    </row>
    <row r="1296" spans="1:7" x14ac:dyDescent="0.2">
      <c r="A1296" s="40">
        <v>5340</v>
      </c>
      <c r="B1296" s="39" t="s">
        <v>2132</v>
      </c>
      <c r="C1296" s="40" t="s">
        <v>669</v>
      </c>
      <c r="D1296" s="75" t="s">
        <v>1269</v>
      </c>
      <c r="E1296" s="75" t="s">
        <v>1266</v>
      </c>
      <c r="F1296" s="75" t="s">
        <v>1268</v>
      </c>
      <c r="G1296" s="75" t="s">
        <v>1268</v>
      </c>
    </row>
    <row r="1297" spans="1:7" x14ac:dyDescent="0.2">
      <c r="A1297" s="40">
        <v>5342</v>
      </c>
      <c r="B1297" s="39" t="s">
        <v>2133</v>
      </c>
      <c r="C1297" s="40" t="s">
        <v>669</v>
      </c>
      <c r="D1297" s="75" t="s">
        <v>1269</v>
      </c>
      <c r="E1297" s="75" t="s">
        <v>1266</v>
      </c>
      <c r="F1297" s="75" t="s">
        <v>1268</v>
      </c>
      <c r="G1297" s="75" t="s">
        <v>1267</v>
      </c>
    </row>
    <row r="1298" spans="1:7" x14ac:dyDescent="0.2">
      <c r="A1298" s="40">
        <v>5350</v>
      </c>
      <c r="B1298" s="39" t="s">
        <v>2134</v>
      </c>
      <c r="C1298" s="40" t="s">
        <v>669</v>
      </c>
      <c r="D1298" s="75" t="s">
        <v>1269</v>
      </c>
      <c r="E1298" s="75" t="s">
        <v>1266</v>
      </c>
      <c r="F1298" s="75" t="s">
        <v>1268</v>
      </c>
      <c r="G1298" s="75" t="s">
        <v>1268</v>
      </c>
    </row>
    <row r="1299" spans="1:7" x14ac:dyDescent="0.2">
      <c r="A1299" s="40">
        <v>5351</v>
      </c>
      <c r="B1299" s="39" t="s">
        <v>2135</v>
      </c>
      <c r="C1299" s="40" t="s">
        <v>669</v>
      </c>
      <c r="D1299" s="75" t="s">
        <v>1269</v>
      </c>
      <c r="E1299" s="75" t="s">
        <v>1266</v>
      </c>
      <c r="F1299" s="75" t="s">
        <v>1268</v>
      </c>
      <c r="G1299" s="75" t="s">
        <v>1267</v>
      </c>
    </row>
    <row r="1300" spans="1:7" x14ac:dyDescent="0.2">
      <c r="A1300" s="40">
        <v>5360</v>
      </c>
      <c r="B1300" s="39" t="s">
        <v>2136</v>
      </c>
      <c r="C1300" s="40" t="s">
        <v>520</v>
      </c>
      <c r="D1300" s="75" t="s">
        <v>1269</v>
      </c>
      <c r="E1300" s="75" t="s">
        <v>1266</v>
      </c>
      <c r="F1300" s="75" t="s">
        <v>1268</v>
      </c>
      <c r="G1300" s="75" t="s">
        <v>1268</v>
      </c>
    </row>
    <row r="1301" spans="1:7" x14ac:dyDescent="0.2">
      <c r="A1301" s="40">
        <v>5400</v>
      </c>
      <c r="B1301" s="39" t="s">
        <v>2137</v>
      </c>
      <c r="C1301" s="40" t="s">
        <v>669</v>
      </c>
      <c r="D1301" s="75" t="s">
        <v>1269</v>
      </c>
      <c r="E1301" s="75" t="s">
        <v>1266</v>
      </c>
      <c r="F1301" s="75" t="s">
        <v>1268</v>
      </c>
      <c r="G1301" s="75" t="s">
        <v>1268</v>
      </c>
    </row>
    <row r="1302" spans="1:7" x14ac:dyDescent="0.2">
      <c r="A1302" s="40">
        <v>5409</v>
      </c>
      <c r="B1302" s="39" t="s">
        <v>2137</v>
      </c>
      <c r="C1302" s="40" t="s">
        <v>669</v>
      </c>
      <c r="D1302" s="75" t="s">
        <v>1271</v>
      </c>
      <c r="E1302" s="75" t="s">
        <v>1266</v>
      </c>
      <c r="F1302" s="75" t="s">
        <v>1267</v>
      </c>
      <c r="G1302" s="75" t="s">
        <v>1268</v>
      </c>
    </row>
    <row r="1303" spans="1:7" x14ac:dyDescent="0.2">
      <c r="A1303" s="40">
        <v>5411</v>
      </c>
      <c r="B1303" s="39" t="s">
        <v>2138</v>
      </c>
      <c r="C1303" s="40" t="s">
        <v>669</v>
      </c>
      <c r="D1303" s="75" t="s">
        <v>1269</v>
      </c>
      <c r="E1303" s="75" t="s">
        <v>1266</v>
      </c>
      <c r="F1303" s="75" t="s">
        <v>1268</v>
      </c>
      <c r="G1303" s="75" t="s">
        <v>1268</v>
      </c>
    </row>
    <row r="1304" spans="1:7" x14ac:dyDescent="0.2">
      <c r="A1304" s="40">
        <v>5412</v>
      </c>
      <c r="B1304" s="39" t="s">
        <v>2139</v>
      </c>
      <c r="C1304" s="40" t="s">
        <v>669</v>
      </c>
      <c r="D1304" s="75" t="s">
        <v>1269</v>
      </c>
      <c r="E1304" s="75" t="s">
        <v>1266</v>
      </c>
      <c r="F1304" s="75" t="s">
        <v>1268</v>
      </c>
      <c r="G1304" s="75" t="s">
        <v>1268</v>
      </c>
    </row>
    <row r="1305" spans="1:7" x14ac:dyDescent="0.2">
      <c r="A1305" s="40">
        <v>5421</v>
      </c>
      <c r="B1305" s="39" t="s">
        <v>2140</v>
      </c>
      <c r="C1305" s="40" t="s">
        <v>669</v>
      </c>
      <c r="D1305" s="75" t="s">
        <v>1269</v>
      </c>
      <c r="E1305" s="75" t="s">
        <v>1266</v>
      </c>
      <c r="F1305" s="75" t="s">
        <v>1268</v>
      </c>
      <c r="G1305" s="75" t="s">
        <v>1268</v>
      </c>
    </row>
    <row r="1306" spans="1:7" x14ac:dyDescent="0.2">
      <c r="A1306" s="40">
        <v>5422</v>
      </c>
      <c r="B1306" s="39" t="s">
        <v>2141</v>
      </c>
      <c r="C1306" s="40" t="s">
        <v>669</v>
      </c>
      <c r="D1306" s="75" t="s">
        <v>1269</v>
      </c>
      <c r="E1306" s="75" t="s">
        <v>1266</v>
      </c>
      <c r="F1306" s="75" t="s">
        <v>1268</v>
      </c>
      <c r="G1306" s="75" t="s">
        <v>1267</v>
      </c>
    </row>
    <row r="1307" spans="1:7" x14ac:dyDescent="0.2">
      <c r="A1307" s="40">
        <v>5423</v>
      </c>
      <c r="B1307" s="39" t="s">
        <v>2142</v>
      </c>
      <c r="C1307" s="40" t="s">
        <v>669</v>
      </c>
      <c r="D1307" s="75" t="s">
        <v>1269</v>
      </c>
      <c r="E1307" s="75" t="s">
        <v>1266</v>
      </c>
      <c r="F1307" s="75" t="s">
        <v>1268</v>
      </c>
      <c r="G1307" s="75" t="s">
        <v>1267</v>
      </c>
    </row>
    <row r="1308" spans="1:7" x14ac:dyDescent="0.2">
      <c r="A1308" s="40">
        <v>5424</v>
      </c>
      <c r="B1308" s="39" t="s">
        <v>2143</v>
      </c>
      <c r="C1308" s="40" t="s">
        <v>669</v>
      </c>
      <c r="D1308" s="75" t="s">
        <v>1269</v>
      </c>
      <c r="E1308" s="75" t="s">
        <v>1266</v>
      </c>
      <c r="F1308" s="75" t="s">
        <v>1268</v>
      </c>
      <c r="G1308" s="75" t="s">
        <v>1267</v>
      </c>
    </row>
    <row r="1309" spans="1:7" x14ac:dyDescent="0.2">
      <c r="A1309" s="40">
        <v>5431</v>
      </c>
      <c r="B1309" s="39" t="s">
        <v>2144</v>
      </c>
      <c r="C1309" s="40" t="s">
        <v>669</v>
      </c>
      <c r="D1309" s="75" t="s">
        <v>1269</v>
      </c>
      <c r="E1309" s="75" t="s">
        <v>1266</v>
      </c>
      <c r="F1309" s="75" t="s">
        <v>1268</v>
      </c>
      <c r="G1309" s="75" t="s">
        <v>1268</v>
      </c>
    </row>
    <row r="1310" spans="1:7" x14ac:dyDescent="0.2">
      <c r="A1310" s="40">
        <v>5440</v>
      </c>
      <c r="B1310" s="39" t="s">
        <v>2145</v>
      </c>
      <c r="C1310" s="40" t="s">
        <v>669</v>
      </c>
      <c r="D1310" s="75" t="s">
        <v>1269</v>
      </c>
      <c r="E1310" s="75" t="s">
        <v>1266</v>
      </c>
      <c r="F1310" s="75" t="s">
        <v>1268</v>
      </c>
      <c r="G1310" s="75" t="s">
        <v>1268</v>
      </c>
    </row>
    <row r="1311" spans="1:7" x14ac:dyDescent="0.2">
      <c r="A1311" s="40">
        <v>5441</v>
      </c>
      <c r="B1311" s="39" t="s">
        <v>2146</v>
      </c>
      <c r="C1311" s="40" t="s">
        <v>669</v>
      </c>
      <c r="D1311" s="75" t="s">
        <v>1269</v>
      </c>
      <c r="E1311" s="75" t="s">
        <v>1266</v>
      </c>
      <c r="F1311" s="75" t="s">
        <v>1268</v>
      </c>
      <c r="G1311" s="75" t="s">
        <v>1268</v>
      </c>
    </row>
    <row r="1312" spans="1:7" x14ac:dyDescent="0.2">
      <c r="A1312" s="40">
        <v>5442</v>
      </c>
      <c r="B1312" s="39" t="s">
        <v>2147</v>
      </c>
      <c r="C1312" s="40" t="s">
        <v>669</v>
      </c>
      <c r="D1312" s="75" t="s">
        <v>1269</v>
      </c>
      <c r="E1312" s="75" t="s">
        <v>1266</v>
      </c>
      <c r="F1312" s="75" t="s">
        <v>1268</v>
      </c>
      <c r="G1312" s="75" t="s">
        <v>1267</v>
      </c>
    </row>
    <row r="1313" spans="1:7" x14ac:dyDescent="0.2">
      <c r="A1313" s="40">
        <v>5450</v>
      </c>
      <c r="B1313" s="39" t="s">
        <v>2148</v>
      </c>
      <c r="C1313" s="40" t="s">
        <v>669</v>
      </c>
      <c r="D1313" s="75" t="s">
        <v>1269</v>
      </c>
      <c r="E1313" s="75" t="s">
        <v>1266</v>
      </c>
      <c r="F1313" s="75" t="s">
        <v>1268</v>
      </c>
      <c r="G1313" s="75" t="s">
        <v>1268</v>
      </c>
    </row>
    <row r="1314" spans="1:7" x14ac:dyDescent="0.2">
      <c r="A1314" s="40">
        <v>5451</v>
      </c>
      <c r="B1314" s="39" t="s">
        <v>2149</v>
      </c>
      <c r="C1314" s="40" t="s">
        <v>669</v>
      </c>
      <c r="D1314" s="75" t="s">
        <v>1269</v>
      </c>
      <c r="E1314" s="75" t="s">
        <v>1266</v>
      </c>
      <c r="F1314" s="75" t="s">
        <v>1268</v>
      </c>
      <c r="G1314" s="75" t="s">
        <v>1267</v>
      </c>
    </row>
    <row r="1315" spans="1:7" x14ac:dyDescent="0.2">
      <c r="A1315" s="40">
        <v>5452</v>
      </c>
      <c r="B1315" s="39" t="s">
        <v>2150</v>
      </c>
      <c r="C1315" s="40" t="s">
        <v>669</v>
      </c>
      <c r="D1315" s="75" t="s">
        <v>1269</v>
      </c>
      <c r="E1315" s="75" t="s">
        <v>1266</v>
      </c>
      <c r="F1315" s="75" t="s">
        <v>1268</v>
      </c>
      <c r="G1315" s="75" t="s">
        <v>1268</v>
      </c>
    </row>
    <row r="1316" spans="1:7" x14ac:dyDescent="0.2">
      <c r="A1316" s="40">
        <v>5453</v>
      </c>
      <c r="B1316" s="39" t="s">
        <v>2151</v>
      </c>
      <c r="C1316" s="40" t="s">
        <v>669</v>
      </c>
      <c r="D1316" s="75" t="s">
        <v>1269</v>
      </c>
      <c r="E1316" s="75" t="s">
        <v>1266</v>
      </c>
      <c r="F1316" s="75" t="s">
        <v>1268</v>
      </c>
      <c r="G1316" s="75" t="s">
        <v>1267</v>
      </c>
    </row>
    <row r="1317" spans="1:7" x14ac:dyDescent="0.2">
      <c r="A1317" s="40">
        <v>5500</v>
      </c>
      <c r="B1317" s="39" t="s">
        <v>2152</v>
      </c>
      <c r="C1317" s="40" t="s">
        <v>669</v>
      </c>
      <c r="D1317" s="75" t="s">
        <v>1269</v>
      </c>
      <c r="E1317" s="75" t="s">
        <v>1266</v>
      </c>
      <c r="F1317" s="75" t="s">
        <v>1268</v>
      </c>
      <c r="G1317" s="75" t="s">
        <v>1268</v>
      </c>
    </row>
    <row r="1318" spans="1:7" x14ac:dyDescent="0.2">
      <c r="A1318" s="40">
        <v>5505</v>
      </c>
      <c r="B1318" s="39" t="s">
        <v>2153</v>
      </c>
      <c r="C1318" s="40" t="s">
        <v>669</v>
      </c>
      <c r="D1318" s="75" t="s">
        <v>1269</v>
      </c>
      <c r="E1318" s="75" t="s">
        <v>1266</v>
      </c>
      <c r="F1318" s="75" t="s">
        <v>1268</v>
      </c>
      <c r="G1318" s="75" t="s">
        <v>1268</v>
      </c>
    </row>
    <row r="1319" spans="1:7" x14ac:dyDescent="0.2">
      <c r="A1319" s="40">
        <v>5511</v>
      </c>
      <c r="B1319" s="39" t="s">
        <v>2154</v>
      </c>
      <c r="C1319" s="40" t="s">
        <v>669</v>
      </c>
      <c r="D1319" s="75" t="s">
        <v>1269</v>
      </c>
      <c r="E1319" s="75" t="s">
        <v>1266</v>
      </c>
      <c r="F1319" s="75" t="s">
        <v>1268</v>
      </c>
      <c r="G1319" s="75" t="s">
        <v>1267</v>
      </c>
    </row>
    <row r="1320" spans="1:7" x14ac:dyDescent="0.2">
      <c r="A1320" s="40">
        <v>5521</v>
      </c>
      <c r="B1320" s="39" t="s">
        <v>2155</v>
      </c>
      <c r="C1320" s="40" t="s">
        <v>669</v>
      </c>
      <c r="D1320" s="75" t="s">
        <v>1269</v>
      </c>
      <c r="E1320" s="75" t="s">
        <v>1266</v>
      </c>
      <c r="F1320" s="75" t="s">
        <v>1268</v>
      </c>
      <c r="G1320" s="75" t="s">
        <v>1267</v>
      </c>
    </row>
    <row r="1321" spans="1:7" x14ac:dyDescent="0.2">
      <c r="A1321" s="40">
        <v>5522</v>
      </c>
      <c r="B1321" s="39" t="s">
        <v>2156</v>
      </c>
      <c r="C1321" s="40" t="s">
        <v>669</v>
      </c>
      <c r="D1321" s="75" t="s">
        <v>1269</v>
      </c>
      <c r="E1321" s="75" t="s">
        <v>1266</v>
      </c>
      <c r="F1321" s="75" t="s">
        <v>1268</v>
      </c>
      <c r="G1321" s="75" t="s">
        <v>1268</v>
      </c>
    </row>
    <row r="1322" spans="1:7" x14ac:dyDescent="0.2">
      <c r="A1322" s="40">
        <v>5523</v>
      </c>
      <c r="B1322" s="39" t="s">
        <v>2157</v>
      </c>
      <c r="C1322" s="40" t="s">
        <v>669</v>
      </c>
      <c r="D1322" s="75" t="s">
        <v>1269</v>
      </c>
      <c r="E1322" s="75" t="s">
        <v>1266</v>
      </c>
      <c r="F1322" s="75" t="s">
        <v>1268</v>
      </c>
      <c r="G1322" s="75" t="s">
        <v>1267</v>
      </c>
    </row>
    <row r="1323" spans="1:7" x14ac:dyDescent="0.2">
      <c r="A1323" s="40">
        <v>5524</v>
      </c>
      <c r="B1323" s="39" t="s">
        <v>479</v>
      </c>
      <c r="C1323" s="40" t="s">
        <v>669</v>
      </c>
      <c r="D1323" s="75" t="s">
        <v>1269</v>
      </c>
      <c r="E1323" s="75" t="s">
        <v>1266</v>
      </c>
      <c r="F1323" s="75" t="s">
        <v>1268</v>
      </c>
      <c r="G1323" s="75" t="s">
        <v>1268</v>
      </c>
    </row>
    <row r="1324" spans="1:7" x14ac:dyDescent="0.2">
      <c r="A1324" s="40">
        <v>5531</v>
      </c>
      <c r="B1324" s="39" t="s">
        <v>2158</v>
      </c>
      <c r="C1324" s="40" t="s">
        <v>669</v>
      </c>
      <c r="D1324" s="75" t="s">
        <v>1269</v>
      </c>
      <c r="E1324" s="75" t="s">
        <v>1266</v>
      </c>
      <c r="F1324" s="75" t="s">
        <v>1268</v>
      </c>
      <c r="G1324" s="75" t="s">
        <v>1268</v>
      </c>
    </row>
    <row r="1325" spans="1:7" x14ac:dyDescent="0.2">
      <c r="A1325" s="40">
        <v>5532</v>
      </c>
      <c r="B1325" s="39" t="s">
        <v>2159</v>
      </c>
      <c r="C1325" s="40" t="s">
        <v>669</v>
      </c>
      <c r="D1325" s="75" t="s">
        <v>1269</v>
      </c>
      <c r="E1325" s="75" t="s">
        <v>1266</v>
      </c>
      <c r="F1325" s="75" t="s">
        <v>1268</v>
      </c>
      <c r="G1325" s="75" t="s">
        <v>1268</v>
      </c>
    </row>
    <row r="1326" spans="1:7" x14ac:dyDescent="0.2">
      <c r="A1326" s="40">
        <v>5541</v>
      </c>
      <c r="B1326" s="39" t="s">
        <v>2160</v>
      </c>
      <c r="C1326" s="40" t="s">
        <v>669</v>
      </c>
      <c r="D1326" s="75" t="s">
        <v>1269</v>
      </c>
      <c r="E1326" s="75" t="s">
        <v>1266</v>
      </c>
      <c r="F1326" s="75" t="s">
        <v>1268</v>
      </c>
      <c r="G1326" s="75" t="s">
        <v>1268</v>
      </c>
    </row>
    <row r="1327" spans="1:7" x14ac:dyDescent="0.2">
      <c r="A1327" s="40">
        <v>5542</v>
      </c>
      <c r="B1327" s="39" t="s">
        <v>2161</v>
      </c>
      <c r="C1327" s="40" t="s">
        <v>669</v>
      </c>
      <c r="D1327" s="75" t="s">
        <v>1269</v>
      </c>
      <c r="E1327" s="75" t="s">
        <v>1266</v>
      </c>
      <c r="F1327" s="75" t="s">
        <v>1268</v>
      </c>
      <c r="G1327" s="75" t="s">
        <v>1268</v>
      </c>
    </row>
    <row r="1328" spans="1:7" x14ac:dyDescent="0.2">
      <c r="A1328" s="40">
        <v>5550</v>
      </c>
      <c r="B1328" s="39" t="s">
        <v>2162</v>
      </c>
      <c r="C1328" s="40" t="s">
        <v>669</v>
      </c>
      <c r="D1328" s="75" t="s">
        <v>1269</v>
      </c>
      <c r="E1328" s="75" t="s">
        <v>1266</v>
      </c>
      <c r="F1328" s="75" t="s">
        <v>1268</v>
      </c>
      <c r="G1328" s="75" t="s">
        <v>1268</v>
      </c>
    </row>
    <row r="1329" spans="1:7" x14ac:dyDescent="0.2">
      <c r="A1329" s="40">
        <v>5552</v>
      </c>
      <c r="B1329" s="39" t="s">
        <v>2373</v>
      </c>
      <c r="C1329" s="40" t="s">
        <v>669</v>
      </c>
      <c r="D1329" s="75" t="s">
        <v>1269</v>
      </c>
      <c r="E1329" s="75" t="s">
        <v>1266</v>
      </c>
      <c r="F1329" s="75" t="s">
        <v>1268</v>
      </c>
      <c r="G1329" s="75" t="s">
        <v>1267</v>
      </c>
    </row>
    <row r="1330" spans="1:7" x14ac:dyDescent="0.2">
      <c r="A1330" s="40">
        <v>5561</v>
      </c>
      <c r="B1330" s="39" t="s">
        <v>2374</v>
      </c>
      <c r="C1330" s="40" t="s">
        <v>669</v>
      </c>
      <c r="D1330" s="75" t="s">
        <v>1269</v>
      </c>
      <c r="E1330" s="75" t="s">
        <v>1266</v>
      </c>
      <c r="F1330" s="75" t="s">
        <v>1268</v>
      </c>
      <c r="G1330" s="75" t="s">
        <v>1267</v>
      </c>
    </row>
    <row r="1331" spans="1:7" x14ac:dyDescent="0.2">
      <c r="A1331" s="40">
        <v>5562</v>
      </c>
      <c r="B1331" s="39" t="s">
        <v>2375</v>
      </c>
      <c r="C1331" s="40" t="s">
        <v>669</v>
      </c>
      <c r="D1331" s="75" t="s">
        <v>1269</v>
      </c>
      <c r="E1331" s="75" t="s">
        <v>1266</v>
      </c>
      <c r="F1331" s="75" t="s">
        <v>1268</v>
      </c>
      <c r="G1331" s="75" t="s">
        <v>1268</v>
      </c>
    </row>
    <row r="1332" spans="1:7" x14ac:dyDescent="0.2">
      <c r="A1332" s="40">
        <v>5563</v>
      </c>
      <c r="B1332" s="39" t="s">
        <v>2376</v>
      </c>
      <c r="C1332" s="40" t="s">
        <v>669</v>
      </c>
      <c r="D1332" s="75" t="s">
        <v>1269</v>
      </c>
      <c r="E1332" s="75" t="s">
        <v>1266</v>
      </c>
      <c r="F1332" s="75" t="s">
        <v>1268</v>
      </c>
      <c r="G1332" s="75" t="s">
        <v>1267</v>
      </c>
    </row>
    <row r="1333" spans="1:7" x14ac:dyDescent="0.2">
      <c r="A1333" s="40">
        <v>5570</v>
      </c>
      <c r="B1333" s="39" t="s">
        <v>2377</v>
      </c>
      <c r="C1333" s="40" t="s">
        <v>669</v>
      </c>
      <c r="D1333" s="75" t="s">
        <v>1269</v>
      </c>
      <c r="E1333" s="75" t="s">
        <v>1266</v>
      </c>
      <c r="F1333" s="75" t="s">
        <v>1268</v>
      </c>
      <c r="G1333" s="75" t="s">
        <v>1268</v>
      </c>
    </row>
    <row r="1334" spans="1:7" x14ac:dyDescent="0.2">
      <c r="A1334" s="40">
        <v>5571</v>
      </c>
      <c r="B1334" s="39" t="s">
        <v>2378</v>
      </c>
      <c r="C1334" s="40" t="s">
        <v>669</v>
      </c>
      <c r="D1334" s="75" t="s">
        <v>1269</v>
      </c>
      <c r="E1334" s="75" t="s">
        <v>1266</v>
      </c>
      <c r="F1334" s="75" t="s">
        <v>1268</v>
      </c>
      <c r="G1334" s="75" t="s">
        <v>1268</v>
      </c>
    </row>
    <row r="1335" spans="1:7" x14ac:dyDescent="0.2">
      <c r="A1335" s="40">
        <v>5572</v>
      </c>
      <c r="B1335" s="39" t="s">
        <v>2379</v>
      </c>
      <c r="C1335" s="40" t="s">
        <v>669</v>
      </c>
      <c r="D1335" s="75" t="s">
        <v>1269</v>
      </c>
      <c r="E1335" s="75" t="s">
        <v>1266</v>
      </c>
      <c r="F1335" s="75" t="s">
        <v>1268</v>
      </c>
      <c r="G1335" s="75" t="s">
        <v>1267</v>
      </c>
    </row>
    <row r="1336" spans="1:7" x14ac:dyDescent="0.2">
      <c r="A1336" s="40">
        <v>5573</v>
      </c>
      <c r="B1336" s="39" t="s">
        <v>2380</v>
      </c>
      <c r="C1336" s="40" t="s">
        <v>669</v>
      </c>
      <c r="D1336" s="75" t="s">
        <v>1269</v>
      </c>
      <c r="E1336" s="75" t="s">
        <v>1266</v>
      </c>
      <c r="F1336" s="75" t="s">
        <v>1268</v>
      </c>
      <c r="G1336" s="75" t="s">
        <v>1267</v>
      </c>
    </row>
    <row r="1337" spans="1:7" x14ac:dyDescent="0.2">
      <c r="A1337" s="40">
        <v>5580</v>
      </c>
      <c r="B1337" s="39" t="s">
        <v>2381</v>
      </c>
      <c r="C1337" s="40" t="s">
        <v>669</v>
      </c>
      <c r="D1337" s="75" t="s">
        <v>1269</v>
      </c>
      <c r="E1337" s="75" t="s">
        <v>1266</v>
      </c>
      <c r="F1337" s="75" t="s">
        <v>1268</v>
      </c>
      <c r="G1337" s="75" t="s">
        <v>1268</v>
      </c>
    </row>
    <row r="1338" spans="1:7" x14ac:dyDescent="0.2">
      <c r="A1338" s="40">
        <v>5581</v>
      </c>
      <c r="B1338" s="39" t="s">
        <v>2382</v>
      </c>
      <c r="C1338" s="40" t="s">
        <v>669</v>
      </c>
      <c r="D1338" s="75" t="s">
        <v>1269</v>
      </c>
      <c r="E1338" s="75" t="s">
        <v>1266</v>
      </c>
      <c r="F1338" s="75" t="s">
        <v>1268</v>
      </c>
      <c r="G1338" s="75" t="s">
        <v>1267</v>
      </c>
    </row>
    <row r="1339" spans="1:7" x14ac:dyDescent="0.2">
      <c r="A1339" s="40">
        <v>5582</v>
      </c>
      <c r="B1339" s="39" t="s">
        <v>2383</v>
      </c>
      <c r="C1339" s="40" t="s">
        <v>669</v>
      </c>
      <c r="D1339" s="75" t="s">
        <v>1269</v>
      </c>
      <c r="E1339" s="75" t="s">
        <v>1266</v>
      </c>
      <c r="F1339" s="75" t="s">
        <v>1268</v>
      </c>
      <c r="G1339" s="75" t="s">
        <v>1268</v>
      </c>
    </row>
    <row r="1340" spans="1:7" x14ac:dyDescent="0.2">
      <c r="A1340" s="40">
        <v>5583</v>
      </c>
      <c r="B1340" s="39" t="s">
        <v>2384</v>
      </c>
      <c r="C1340" s="40" t="s">
        <v>669</v>
      </c>
      <c r="D1340" s="75" t="s">
        <v>1269</v>
      </c>
      <c r="E1340" s="75" t="s">
        <v>1266</v>
      </c>
      <c r="F1340" s="75" t="s">
        <v>1268</v>
      </c>
      <c r="G1340" s="75" t="s">
        <v>1267</v>
      </c>
    </row>
    <row r="1341" spans="1:7" x14ac:dyDescent="0.2">
      <c r="A1341" s="40">
        <v>5584</v>
      </c>
      <c r="B1341" s="39" t="s">
        <v>2385</v>
      </c>
      <c r="C1341" s="40" t="s">
        <v>669</v>
      </c>
      <c r="D1341" s="75" t="s">
        <v>1269</v>
      </c>
      <c r="E1341" s="75" t="s">
        <v>1266</v>
      </c>
      <c r="F1341" s="75" t="s">
        <v>1268</v>
      </c>
      <c r="G1341" s="75" t="s">
        <v>1267</v>
      </c>
    </row>
    <row r="1342" spans="1:7" x14ac:dyDescent="0.2">
      <c r="A1342" s="40">
        <v>5585</v>
      </c>
      <c r="B1342" s="39" t="s">
        <v>2386</v>
      </c>
      <c r="C1342" s="40" t="s">
        <v>669</v>
      </c>
      <c r="D1342" s="75" t="s">
        <v>1269</v>
      </c>
      <c r="E1342" s="75" t="s">
        <v>1266</v>
      </c>
      <c r="F1342" s="75" t="s">
        <v>1268</v>
      </c>
      <c r="G1342" s="75" t="s">
        <v>1267</v>
      </c>
    </row>
    <row r="1343" spans="1:7" x14ac:dyDescent="0.2">
      <c r="A1343" s="40">
        <v>5591</v>
      </c>
      <c r="B1343" s="39" t="s">
        <v>2387</v>
      </c>
      <c r="C1343" s="40" t="s">
        <v>669</v>
      </c>
      <c r="D1343" s="75" t="s">
        <v>1269</v>
      </c>
      <c r="E1343" s="75" t="s">
        <v>1266</v>
      </c>
      <c r="F1343" s="75" t="s">
        <v>1268</v>
      </c>
      <c r="G1343" s="75" t="s">
        <v>1267</v>
      </c>
    </row>
    <row r="1344" spans="1:7" x14ac:dyDescent="0.2">
      <c r="A1344" s="40">
        <v>5592</v>
      </c>
      <c r="B1344" s="39" t="s">
        <v>2388</v>
      </c>
      <c r="C1344" s="40" t="s">
        <v>669</v>
      </c>
      <c r="D1344" s="75" t="s">
        <v>1269</v>
      </c>
      <c r="E1344" s="75" t="s">
        <v>1266</v>
      </c>
      <c r="F1344" s="75" t="s">
        <v>1268</v>
      </c>
      <c r="G1344" s="75" t="s">
        <v>1267</v>
      </c>
    </row>
    <row r="1345" spans="1:7" x14ac:dyDescent="0.2">
      <c r="A1345" s="40">
        <v>5600</v>
      </c>
      <c r="B1345" s="39" t="s">
        <v>2389</v>
      </c>
      <c r="C1345" s="40" t="s">
        <v>669</v>
      </c>
      <c r="D1345" s="75" t="s">
        <v>1269</v>
      </c>
      <c r="E1345" s="75" t="s">
        <v>1266</v>
      </c>
      <c r="F1345" s="75" t="s">
        <v>1268</v>
      </c>
      <c r="G1345" s="75" t="s">
        <v>1268</v>
      </c>
    </row>
    <row r="1346" spans="1:7" x14ac:dyDescent="0.2">
      <c r="A1346" s="40">
        <v>5602</v>
      </c>
      <c r="B1346" s="39" t="s">
        <v>2390</v>
      </c>
      <c r="C1346" s="40" t="s">
        <v>669</v>
      </c>
      <c r="D1346" s="75" t="s">
        <v>1269</v>
      </c>
      <c r="E1346" s="75" t="s">
        <v>1266</v>
      </c>
      <c r="F1346" s="75" t="s">
        <v>1268</v>
      </c>
      <c r="G1346" s="75" t="s">
        <v>1268</v>
      </c>
    </row>
    <row r="1347" spans="1:7" x14ac:dyDescent="0.2">
      <c r="A1347" s="40">
        <v>5603</v>
      </c>
      <c r="B1347" s="39" t="s">
        <v>2391</v>
      </c>
      <c r="C1347" s="40" t="s">
        <v>669</v>
      </c>
      <c r="D1347" s="75" t="s">
        <v>1269</v>
      </c>
      <c r="E1347" s="75" t="s">
        <v>1266</v>
      </c>
      <c r="F1347" s="75" t="s">
        <v>1268</v>
      </c>
      <c r="G1347" s="75" t="s">
        <v>1267</v>
      </c>
    </row>
    <row r="1348" spans="1:7" x14ac:dyDescent="0.2">
      <c r="A1348" s="40">
        <v>5611</v>
      </c>
      <c r="B1348" s="39" t="s">
        <v>2392</v>
      </c>
      <c r="C1348" s="40" t="s">
        <v>669</v>
      </c>
      <c r="D1348" s="75" t="s">
        <v>1269</v>
      </c>
      <c r="E1348" s="75" t="s">
        <v>1266</v>
      </c>
      <c r="F1348" s="75" t="s">
        <v>1268</v>
      </c>
      <c r="G1348" s="75" t="s">
        <v>1268</v>
      </c>
    </row>
    <row r="1349" spans="1:7" x14ac:dyDescent="0.2">
      <c r="A1349" s="40">
        <v>5612</v>
      </c>
      <c r="B1349" s="39" t="s">
        <v>2393</v>
      </c>
      <c r="C1349" s="40" t="s">
        <v>669</v>
      </c>
      <c r="D1349" s="75" t="s">
        <v>1269</v>
      </c>
      <c r="E1349" s="75" t="s">
        <v>1266</v>
      </c>
      <c r="F1349" s="75" t="s">
        <v>1268</v>
      </c>
      <c r="G1349" s="75" t="s">
        <v>1267</v>
      </c>
    </row>
    <row r="1350" spans="1:7" x14ac:dyDescent="0.2">
      <c r="A1350" s="40">
        <v>5620</v>
      </c>
      <c r="B1350" s="39" t="s">
        <v>2394</v>
      </c>
      <c r="C1350" s="40" t="s">
        <v>669</v>
      </c>
      <c r="D1350" s="75" t="s">
        <v>1269</v>
      </c>
      <c r="E1350" s="75" t="s">
        <v>1266</v>
      </c>
      <c r="F1350" s="75" t="s">
        <v>1268</v>
      </c>
      <c r="G1350" s="75" t="s">
        <v>1268</v>
      </c>
    </row>
    <row r="1351" spans="1:7" x14ac:dyDescent="0.2">
      <c r="A1351" s="40">
        <v>5621</v>
      </c>
      <c r="B1351" s="39" t="s">
        <v>2395</v>
      </c>
      <c r="C1351" s="40" t="s">
        <v>669</v>
      </c>
      <c r="D1351" s="75" t="s">
        <v>1269</v>
      </c>
      <c r="E1351" s="75" t="s">
        <v>1266</v>
      </c>
      <c r="F1351" s="75" t="s">
        <v>1268</v>
      </c>
      <c r="G1351" s="75" t="s">
        <v>1267</v>
      </c>
    </row>
    <row r="1352" spans="1:7" x14ac:dyDescent="0.2">
      <c r="A1352" s="40">
        <v>5622</v>
      </c>
      <c r="B1352" s="39" t="s">
        <v>2396</v>
      </c>
      <c r="C1352" s="40" t="s">
        <v>669</v>
      </c>
      <c r="D1352" s="75" t="s">
        <v>1269</v>
      </c>
      <c r="E1352" s="75" t="s">
        <v>1266</v>
      </c>
      <c r="F1352" s="75" t="s">
        <v>1268</v>
      </c>
      <c r="G1352" s="75" t="s">
        <v>1267</v>
      </c>
    </row>
    <row r="1353" spans="1:7" x14ac:dyDescent="0.2">
      <c r="A1353" s="40">
        <v>5623</v>
      </c>
      <c r="B1353" s="39" t="s">
        <v>2394</v>
      </c>
      <c r="C1353" s="40" t="s">
        <v>669</v>
      </c>
      <c r="D1353" s="75" t="s">
        <v>1265</v>
      </c>
      <c r="E1353" s="75" t="s">
        <v>1266</v>
      </c>
      <c r="F1353" s="75" t="s">
        <v>1267</v>
      </c>
      <c r="G1353" s="75" t="s">
        <v>1268</v>
      </c>
    </row>
    <row r="1354" spans="1:7" x14ac:dyDescent="0.2">
      <c r="A1354" s="40">
        <v>5630</v>
      </c>
      <c r="B1354" s="39" t="s">
        <v>2397</v>
      </c>
      <c r="C1354" s="40" t="s">
        <v>669</v>
      </c>
      <c r="D1354" s="75" t="s">
        <v>1269</v>
      </c>
      <c r="E1354" s="75" t="s">
        <v>1266</v>
      </c>
      <c r="F1354" s="75" t="s">
        <v>1268</v>
      </c>
      <c r="G1354" s="75" t="s">
        <v>1268</v>
      </c>
    </row>
    <row r="1355" spans="1:7" x14ac:dyDescent="0.2">
      <c r="A1355" s="40">
        <v>5632</v>
      </c>
      <c r="B1355" s="39" t="s">
        <v>2398</v>
      </c>
      <c r="C1355" s="40" t="s">
        <v>669</v>
      </c>
      <c r="D1355" s="75" t="s">
        <v>1269</v>
      </c>
      <c r="E1355" s="75" t="s">
        <v>1266</v>
      </c>
      <c r="F1355" s="75" t="s">
        <v>1268</v>
      </c>
      <c r="G1355" s="75" t="s">
        <v>1267</v>
      </c>
    </row>
    <row r="1356" spans="1:7" x14ac:dyDescent="0.2">
      <c r="A1356" s="40">
        <v>5640</v>
      </c>
      <c r="B1356" s="39" t="s">
        <v>2399</v>
      </c>
      <c r="C1356" s="40" t="s">
        <v>669</v>
      </c>
      <c r="D1356" s="75" t="s">
        <v>1269</v>
      </c>
      <c r="E1356" s="75" t="s">
        <v>1266</v>
      </c>
      <c r="F1356" s="75" t="s">
        <v>1268</v>
      </c>
      <c r="G1356" s="75" t="s">
        <v>1268</v>
      </c>
    </row>
    <row r="1357" spans="1:7" x14ac:dyDescent="0.2">
      <c r="A1357" s="40">
        <v>5645</v>
      </c>
      <c r="B1357" s="39" t="s">
        <v>2400</v>
      </c>
      <c r="C1357" s="40" t="s">
        <v>669</v>
      </c>
      <c r="D1357" s="75" t="s">
        <v>1269</v>
      </c>
      <c r="E1357" s="75" t="s">
        <v>1266</v>
      </c>
      <c r="F1357" s="75" t="s">
        <v>1268</v>
      </c>
      <c r="G1357" s="75" t="s">
        <v>1267</v>
      </c>
    </row>
    <row r="1358" spans="1:7" x14ac:dyDescent="0.2">
      <c r="A1358" s="40">
        <v>5651</v>
      </c>
      <c r="B1358" s="39" t="s">
        <v>2401</v>
      </c>
      <c r="C1358" s="40" t="s">
        <v>669</v>
      </c>
      <c r="D1358" s="75" t="s">
        <v>1269</v>
      </c>
      <c r="E1358" s="75" t="s">
        <v>1266</v>
      </c>
      <c r="F1358" s="75" t="s">
        <v>1268</v>
      </c>
      <c r="G1358" s="75" t="s">
        <v>1267</v>
      </c>
    </row>
    <row r="1359" spans="1:7" x14ac:dyDescent="0.2">
      <c r="A1359" s="40">
        <v>5652</v>
      </c>
      <c r="B1359" s="39" t="s">
        <v>2402</v>
      </c>
      <c r="C1359" s="40" t="s">
        <v>669</v>
      </c>
      <c r="D1359" s="75" t="s">
        <v>1269</v>
      </c>
      <c r="E1359" s="75" t="s">
        <v>1266</v>
      </c>
      <c r="F1359" s="75" t="s">
        <v>1268</v>
      </c>
      <c r="G1359" s="75" t="s">
        <v>1267</v>
      </c>
    </row>
    <row r="1360" spans="1:7" x14ac:dyDescent="0.2">
      <c r="A1360" s="40">
        <v>5660</v>
      </c>
      <c r="B1360" s="39" t="s">
        <v>2403</v>
      </c>
      <c r="C1360" s="40" t="s">
        <v>669</v>
      </c>
      <c r="D1360" s="75" t="s">
        <v>1269</v>
      </c>
      <c r="E1360" s="75" t="s">
        <v>1266</v>
      </c>
      <c r="F1360" s="75" t="s">
        <v>1268</v>
      </c>
      <c r="G1360" s="75" t="s">
        <v>1268</v>
      </c>
    </row>
    <row r="1361" spans="1:7" x14ac:dyDescent="0.2">
      <c r="A1361" s="40">
        <v>5661</v>
      </c>
      <c r="B1361" s="39" t="s">
        <v>252</v>
      </c>
      <c r="C1361" s="40" t="s">
        <v>669</v>
      </c>
      <c r="D1361" s="75" t="s">
        <v>1269</v>
      </c>
      <c r="E1361" s="75" t="s">
        <v>1266</v>
      </c>
      <c r="F1361" s="75" t="s">
        <v>1268</v>
      </c>
      <c r="G1361" s="75" t="s">
        <v>1268</v>
      </c>
    </row>
    <row r="1362" spans="1:7" x14ac:dyDescent="0.2">
      <c r="A1362" s="40">
        <v>5662</v>
      </c>
      <c r="B1362" s="39" t="s">
        <v>2404</v>
      </c>
      <c r="C1362" s="40" t="s">
        <v>669</v>
      </c>
      <c r="D1362" s="75" t="s">
        <v>1269</v>
      </c>
      <c r="E1362" s="75" t="s">
        <v>1266</v>
      </c>
      <c r="F1362" s="75" t="s">
        <v>1268</v>
      </c>
      <c r="G1362" s="75" t="s">
        <v>1267</v>
      </c>
    </row>
    <row r="1363" spans="1:7" x14ac:dyDescent="0.2">
      <c r="A1363" s="40">
        <v>5671</v>
      </c>
      <c r="B1363" s="39" t="s">
        <v>2405</v>
      </c>
      <c r="C1363" s="40" t="s">
        <v>669</v>
      </c>
      <c r="D1363" s="75" t="s">
        <v>1269</v>
      </c>
      <c r="E1363" s="75" t="s">
        <v>1266</v>
      </c>
      <c r="F1363" s="75" t="s">
        <v>1268</v>
      </c>
      <c r="G1363" s="75" t="s">
        <v>1268</v>
      </c>
    </row>
    <row r="1364" spans="1:7" x14ac:dyDescent="0.2">
      <c r="A1364" s="40">
        <v>5672</v>
      </c>
      <c r="B1364" s="39" t="s">
        <v>2406</v>
      </c>
      <c r="C1364" s="40" t="s">
        <v>669</v>
      </c>
      <c r="D1364" s="75" t="s">
        <v>1269</v>
      </c>
      <c r="E1364" s="75" t="s">
        <v>1266</v>
      </c>
      <c r="F1364" s="75" t="s">
        <v>1268</v>
      </c>
      <c r="G1364" s="75" t="s">
        <v>1267</v>
      </c>
    </row>
    <row r="1365" spans="1:7" x14ac:dyDescent="0.2">
      <c r="A1365" s="40">
        <v>5700</v>
      </c>
      <c r="B1365" s="39" t="s">
        <v>1252</v>
      </c>
      <c r="C1365" s="40" t="s">
        <v>669</v>
      </c>
      <c r="D1365" s="75" t="s">
        <v>1269</v>
      </c>
      <c r="E1365" s="75" t="s">
        <v>1266</v>
      </c>
      <c r="F1365" s="75" t="s">
        <v>1268</v>
      </c>
      <c r="G1365" s="75" t="s">
        <v>1268</v>
      </c>
    </row>
    <row r="1366" spans="1:7" x14ac:dyDescent="0.2">
      <c r="A1366" s="40">
        <v>5702</v>
      </c>
      <c r="B1366" s="39" t="s">
        <v>2407</v>
      </c>
      <c r="C1366" s="40" t="s">
        <v>669</v>
      </c>
      <c r="D1366" s="75" t="s">
        <v>1271</v>
      </c>
      <c r="E1366" s="75" t="s">
        <v>1266</v>
      </c>
      <c r="F1366" s="75" t="s">
        <v>1267</v>
      </c>
      <c r="G1366" s="75" t="s">
        <v>1268</v>
      </c>
    </row>
    <row r="1367" spans="1:7" x14ac:dyDescent="0.2">
      <c r="A1367" s="40">
        <v>5710</v>
      </c>
      <c r="B1367" s="39" t="s">
        <v>2408</v>
      </c>
      <c r="C1367" s="40" t="s">
        <v>669</v>
      </c>
      <c r="D1367" s="75" t="s">
        <v>1269</v>
      </c>
      <c r="E1367" s="75" t="s">
        <v>1266</v>
      </c>
      <c r="F1367" s="75" t="s">
        <v>1268</v>
      </c>
      <c r="G1367" s="75" t="s">
        <v>1268</v>
      </c>
    </row>
    <row r="1368" spans="1:7" x14ac:dyDescent="0.2">
      <c r="A1368" s="40">
        <v>5721</v>
      </c>
      <c r="B1368" s="39" t="s">
        <v>2409</v>
      </c>
      <c r="C1368" s="40" t="s">
        <v>669</v>
      </c>
      <c r="D1368" s="75" t="s">
        <v>1269</v>
      </c>
      <c r="E1368" s="75" t="s">
        <v>1266</v>
      </c>
      <c r="F1368" s="75" t="s">
        <v>1268</v>
      </c>
      <c r="G1368" s="75" t="s">
        <v>1268</v>
      </c>
    </row>
    <row r="1369" spans="1:7" x14ac:dyDescent="0.2">
      <c r="A1369" s="40">
        <v>5722</v>
      </c>
      <c r="B1369" s="39" t="s">
        <v>2410</v>
      </c>
      <c r="C1369" s="40" t="s">
        <v>669</v>
      </c>
      <c r="D1369" s="75" t="s">
        <v>1269</v>
      </c>
      <c r="E1369" s="75" t="s">
        <v>1266</v>
      </c>
      <c r="F1369" s="75" t="s">
        <v>1268</v>
      </c>
      <c r="G1369" s="75" t="s">
        <v>1267</v>
      </c>
    </row>
    <row r="1370" spans="1:7" x14ac:dyDescent="0.2">
      <c r="A1370" s="40">
        <v>5723</v>
      </c>
      <c r="B1370" s="39" t="s">
        <v>2113</v>
      </c>
      <c r="C1370" s="40" t="s">
        <v>669</v>
      </c>
      <c r="D1370" s="75" t="s">
        <v>1269</v>
      </c>
      <c r="E1370" s="75" t="s">
        <v>1266</v>
      </c>
      <c r="F1370" s="75" t="s">
        <v>1268</v>
      </c>
      <c r="G1370" s="75" t="s">
        <v>1268</v>
      </c>
    </row>
    <row r="1371" spans="1:7" x14ac:dyDescent="0.2">
      <c r="A1371" s="40">
        <v>5724</v>
      </c>
      <c r="B1371" s="39" t="s">
        <v>2411</v>
      </c>
      <c r="C1371" s="40" t="s">
        <v>669</v>
      </c>
      <c r="D1371" s="75" t="s">
        <v>1269</v>
      </c>
      <c r="E1371" s="75" t="s">
        <v>1266</v>
      </c>
      <c r="F1371" s="75" t="s">
        <v>1268</v>
      </c>
      <c r="G1371" s="75" t="s">
        <v>1267</v>
      </c>
    </row>
    <row r="1372" spans="1:7" x14ac:dyDescent="0.2">
      <c r="A1372" s="40">
        <v>5730</v>
      </c>
      <c r="B1372" s="39" t="s">
        <v>2412</v>
      </c>
      <c r="C1372" s="40" t="s">
        <v>669</v>
      </c>
      <c r="D1372" s="75" t="s">
        <v>1269</v>
      </c>
      <c r="E1372" s="75" t="s">
        <v>1266</v>
      </c>
      <c r="F1372" s="75" t="s">
        <v>1268</v>
      </c>
      <c r="G1372" s="75" t="s">
        <v>1268</v>
      </c>
    </row>
    <row r="1373" spans="1:7" x14ac:dyDescent="0.2">
      <c r="A1373" s="40">
        <v>5731</v>
      </c>
      <c r="B1373" s="39" t="s">
        <v>2413</v>
      </c>
      <c r="C1373" s="40" t="s">
        <v>669</v>
      </c>
      <c r="D1373" s="75" t="s">
        <v>1269</v>
      </c>
      <c r="E1373" s="75" t="s">
        <v>1266</v>
      </c>
      <c r="F1373" s="75" t="s">
        <v>1268</v>
      </c>
      <c r="G1373" s="75" t="s">
        <v>1267</v>
      </c>
    </row>
    <row r="1374" spans="1:7" x14ac:dyDescent="0.2">
      <c r="A1374" s="40">
        <v>5732</v>
      </c>
      <c r="B1374" s="39" t="s">
        <v>2414</v>
      </c>
      <c r="C1374" s="40" t="s">
        <v>669</v>
      </c>
      <c r="D1374" s="75" t="s">
        <v>1269</v>
      </c>
      <c r="E1374" s="75" t="s">
        <v>1266</v>
      </c>
      <c r="F1374" s="75" t="s">
        <v>1268</v>
      </c>
      <c r="G1374" s="75" t="s">
        <v>1267</v>
      </c>
    </row>
    <row r="1375" spans="1:7" x14ac:dyDescent="0.2">
      <c r="A1375" s="40">
        <v>5733</v>
      </c>
      <c r="B1375" s="39" t="s">
        <v>2415</v>
      </c>
      <c r="C1375" s="40" t="s">
        <v>669</v>
      </c>
      <c r="D1375" s="75" t="s">
        <v>1269</v>
      </c>
      <c r="E1375" s="75" t="s">
        <v>1266</v>
      </c>
      <c r="F1375" s="75" t="s">
        <v>1268</v>
      </c>
      <c r="G1375" s="75" t="s">
        <v>1268</v>
      </c>
    </row>
    <row r="1376" spans="1:7" x14ac:dyDescent="0.2">
      <c r="A1376" s="40">
        <v>5741</v>
      </c>
      <c r="B1376" s="39" t="s">
        <v>861</v>
      </c>
      <c r="C1376" s="40" t="s">
        <v>669</v>
      </c>
      <c r="D1376" s="75" t="s">
        <v>1269</v>
      </c>
      <c r="E1376" s="75" t="s">
        <v>1266</v>
      </c>
      <c r="F1376" s="75" t="s">
        <v>1268</v>
      </c>
      <c r="G1376" s="75" t="s">
        <v>1268</v>
      </c>
    </row>
    <row r="1377" spans="1:7" x14ac:dyDescent="0.2">
      <c r="A1377" s="40">
        <v>5742</v>
      </c>
      <c r="B1377" s="39" t="s">
        <v>862</v>
      </c>
      <c r="C1377" s="40" t="s">
        <v>669</v>
      </c>
      <c r="D1377" s="75" t="s">
        <v>1269</v>
      </c>
      <c r="E1377" s="75" t="s">
        <v>1266</v>
      </c>
      <c r="F1377" s="75" t="s">
        <v>1268</v>
      </c>
      <c r="G1377" s="75" t="s">
        <v>1268</v>
      </c>
    </row>
    <row r="1378" spans="1:7" x14ac:dyDescent="0.2">
      <c r="A1378" s="40">
        <v>5743</v>
      </c>
      <c r="B1378" s="39" t="s">
        <v>863</v>
      </c>
      <c r="C1378" s="40" t="s">
        <v>669</v>
      </c>
      <c r="D1378" s="75" t="s">
        <v>1269</v>
      </c>
      <c r="E1378" s="75" t="s">
        <v>1266</v>
      </c>
      <c r="F1378" s="75" t="s">
        <v>1268</v>
      </c>
      <c r="G1378" s="75" t="s">
        <v>1268</v>
      </c>
    </row>
    <row r="1379" spans="1:7" x14ac:dyDescent="0.2">
      <c r="A1379" s="40">
        <v>5751</v>
      </c>
      <c r="B1379" s="39" t="s">
        <v>864</v>
      </c>
      <c r="C1379" s="40" t="s">
        <v>669</v>
      </c>
      <c r="D1379" s="75" t="s">
        <v>1269</v>
      </c>
      <c r="E1379" s="75" t="s">
        <v>1266</v>
      </c>
      <c r="F1379" s="75" t="s">
        <v>1268</v>
      </c>
      <c r="G1379" s="75" t="s">
        <v>1268</v>
      </c>
    </row>
    <row r="1380" spans="1:7" x14ac:dyDescent="0.2">
      <c r="A1380" s="40">
        <v>5752</v>
      </c>
      <c r="B1380" s="39" t="s">
        <v>865</v>
      </c>
      <c r="C1380" s="40" t="s">
        <v>669</v>
      </c>
      <c r="D1380" s="75" t="s">
        <v>1269</v>
      </c>
      <c r="E1380" s="75" t="s">
        <v>1266</v>
      </c>
      <c r="F1380" s="75" t="s">
        <v>1268</v>
      </c>
      <c r="G1380" s="75" t="s">
        <v>1267</v>
      </c>
    </row>
    <row r="1381" spans="1:7" x14ac:dyDescent="0.2">
      <c r="A1381" s="40">
        <v>5753</v>
      </c>
      <c r="B1381" s="39" t="s">
        <v>866</v>
      </c>
      <c r="C1381" s="40" t="s">
        <v>669</v>
      </c>
      <c r="D1381" s="75" t="s">
        <v>1269</v>
      </c>
      <c r="E1381" s="75" t="s">
        <v>1266</v>
      </c>
      <c r="F1381" s="75" t="s">
        <v>1268</v>
      </c>
      <c r="G1381" s="75" t="s">
        <v>1268</v>
      </c>
    </row>
    <row r="1382" spans="1:7" x14ac:dyDescent="0.2">
      <c r="A1382" s="40">
        <v>5754</v>
      </c>
      <c r="B1382" s="39" t="s">
        <v>867</v>
      </c>
      <c r="C1382" s="40" t="s">
        <v>669</v>
      </c>
      <c r="D1382" s="75" t="s">
        <v>1269</v>
      </c>
      <c r="E1382" s="75" t="s">
        <v>1266</v>
      </c>
      <c r="F1382" s="75" t="s">
        <v>1268</v>
      </c>
      <c r="G1382" s="75" t="s">
        <v>1268</v>
      </c>
    </row>
    <row r="1383" spans="1:7" x14ac:dyDescent="0.2">
      <c r="A1383" s="40">
        <v>5760</v>
      </c>
      <c r="B1383" s="39" t="s">
        <v>868</v>
      </c>
      <c r="C1383" s="40" t="s">
        <v>669</v>
      </c>
      <c r="D1383" s="75" t="s">
        <v>1269</v>
      </c>
      <c r="E1383" s="75" t="s">
        <v>1266</v>
      </c>
      <c r="F1383" s="75" t="s">
        <v>1268</v>
      </c>
      <c r="G1383" s="75" t="s">
        <v>1268</v>
      </c>
    </row>
    <row r="1384" spans="1:7" x14ac:dyDescent="0.2">
      <c r="A1384" s="40">
        <v>5761</v>
      </c>
      <c r="B1384" s="39" t="s">
        <v>869</v>
      </c>
      <c r="C1384" s="40" t="s">
        <v>669</v>
      </c>
      <c r="D1384" s="75" t="s">
        <v>1269</v>
      </c>
      <c r="E1384" s="75" t="s">
        <v>1266</v>
      </c>
      <c r="F1384" s="75" t="s">
        <v>1268</v>
      </c>
      <c r="G1384" s="75" t="s">
        <v>1268</v>
      </c>
    </row>
    <row r="1385" spans="1:7" x14ac:dyDescent="0.2">
      <c r="A1385" s="40">
        <v>5771</v>
      </c>
      <c r="B1385" s="39" t="s">
        <v>870</v>
      </c>
      <c r="C1385" s="40" t="s">
        <v>669</v>
      </c>
      <c r="D1385" s="75" t="s">
        <v>1269</v>
      </c>
      <c r="E1385" s="75" t="s">
        <v>1266</v>
      </c>
      <c r="F1385" s="75" t="s">
        <v>1268</v>
      </c>
      <c r="G1385" s="75" t="s">
        <v>1268</v>
      </c>
    </row>
    <row r="1386" spans="1:7" x14ac:dyDescent="0.2">
      <c r="A1386" s="40">
        <v>6010</v>
      </c>
      <c r="B1386" s="39" t="s">
        <v>189</v>
      </c>
      <c r="C1386" s="40" t="s">
        <v>871</v>
      </c>
      <c r="D1386" s="75" t="s">
        <v>1271</v>
      </c>
      <c r="E1386" s="75" t="s">
        <v>1266</v>
      </c>
      <c r="F1386" s="75" t="s">
        <v>1267</v>
      </c>
      <c r="G1386" s="75" t="s">
        <v>1268</v>
      </c>
    </row>
    <row r="1387" spans="1:7" x14ac:dyDescent="0.2">
      <c r="A1387" s="40">
        <v>6012</v>
      </c>
      <c r="B1387" s="39" t="s">
        <v>189</v>
      </c>
      <c r="C1387" s="40" t="s">
        <v>871</v>
      </c>
      <c r="D1387" s="75" t="s">
        <v>1271</v>
      </c>
      <c r="E1387" s="75" t="s">
        <v>1266</v>
      </c>
      <c r="F1387" s="75" t="s">
        <v>1267</v>
      </c>
      <c r="G1387" s="75" t="s">
        <v>1268</v>
      </c>
    </row>
    <row r="1388" spans="1:7" x14ac:dyDescent="0.2">
      <c r="A1388" s="40">
        <v>6013</v>
      </c>
      <c r="B1388" s="39" t="s">
        <v>189</v>
      </c>
      <c r="C1388" s="40" t="s">
        <v>871</v>
      </c>
      <c r="D1388" s="75" t="s">
        <v>1271</v>
      </c>
      <c r="E1388" s="75" t="s">
        <v>1266</v>
      </c>
      <c r="F1388" s="75" t="s">
        <v>1267</v>
      </c>
      <c r="G1388" s="75" t="s">
        <v>1268</v>
      </c>
    </row>
    <row r="1389" spans="1:7" x14ac:dyDescent="0.2">
      <c r="A1389" s="40">
        <v>6014</v>
      </c>
      <c r="B1389" s="39" t="s">
        <v>189</v>
      </c>
      <c r="C1389" s="40" t="s">
        <v>871</v>
      </c>
      <c r="D1389" s="75" t="s">
        <v>1271</v>
      </c>
      <c r="E1389" s="75" t="s">
        <v>1266</v>
      </c>
      <c r="F1389" s="75" t="s">
        <v>1267</v>
      </c>
      <c r="G1389" s="75" t="s">
        <v>1268</v>
      </c>
    </row>
    <row r="1390" spans="1:7" x14ac:dyDescent="0.2">
      <c r="A1390" s="40">
        <v>6020</v>
      </c>
      <c r="B1390" s="39" t="s">
        <v>189</v>
      </c>
      <c r="C1390" s="40" t="s">
        <v>871</v>
      </c>
      <c r="D1390" s="75" t="s">
        <v>1269</v>
      </c>
      <c r="E1390" s="75" t="s">
        <v>1266</v>
      </c>
      <c r="F1390" s="75" t="s">
        <v>1268</v>
      </c>
      <c r="G1390" s="75" t="s">
        <v>1267</v>
      </c>
    </row>
    <row r="1391" spans="1:7" x14ac:dyDescent="0.2">
      <c r="A1391" s="40">
        <v>6021</v>
      </c>
      <c r="B1391" s="39" t="s">
        <v>872</v>
      </c>
      <c r="C1391" s="40" t="s">
        <v>871</v>
      </c>
      <c r="D1391" s="75" t="s">
        <v>1271</v>
      </c>
      <c r="E1391" s="75" t="s">
        <v>1266</v>
      </c>
      <c r="F1391" s="75" t="s">
        <v>1267</v>
      </c>
      <c r="G1391" s="75" t="s">
        <v>1268</v>
      </c>
    </row>
    <row r="1392" spans="1:7" x14ac:dyDescent="0.2">
      <c r="A1392" s="40">
        <v>6022</v>
      </c>
      <c r="B1392" s="39" t="s">
        <v>189</v>
      </c>
      <c r="C1392" s="40" t="s">
        <v>871</v>
      </c>
      <c r="D1392" s="75" t="s">
        <v>1271</v>
      </c>
      <c r="E1392" s="75" t="s">
        <v>1266</v>
      </c>
      <c r="F1392" s="75" t="s">
        <v>1267</v>
      </c>
      <c r="G1392" s="75" t="s">
        <v>1268</v>
      </c>
    </row>
    <row r="1393" spans="1:7" x14ac:dyDescent="0.2">
      <c r="A1393" s="40">
        <v>6023</v>
      </c>
      <c r="B1393" s="39" t="s">
        <v>189</v>
      </c>
      <c r="C1393" s="40" t="s">
        <v>871</v>
      </c>
      <c r="D1393" s="75" t="s">
        <v>1271</v>
      </c>
      <c r="E1393" s="75" t="s">
        <v>1266</v>
      </c>
      <c r="F1393" s="75" t="s">
        <v>1267</v>
      </c>
      <c r="G1393" s="75" t="s">
        <v>1268</v>
      </c>
    </row>
    <row r="1394" spans="1:7" x14ac:dyDescent="0.2">
      <c r="A1394" s="40">
        <v>6026</v>
      </c>
      <c r="B1394" s="39" t="s">
        <v>189</v>
      </c>
      <c r="C1394" s="40" t="s">
        <v>871</v>
      </c>
      <c r="D1394" s="75" t="s">
        <v>1271</v>
      </c>
      <c r="E1394" s="75" t="s">
        <v>1266</v>
      </c>
      <c r="F1394" s="75" t="s">
        <v>1267</v>
      </c>
      <c r="G1394" s="75" t="s">
        <v>1268</v>
      </c>
    </row>
    <row r="1395" spans="1:7" x14ac:dyDescent="0.2">
      <c r="A1395" s="40">
        <v>6027</v>
      </c>
      <c r="B1395" s="39" t="s">
        <v>189</v>
      </c>
      <c r="C1395" s="40" t="s">
        <v>871</v>
      </c>
      <c r="D1395" s="75" t="s">
        <v>1271</v>
      </c>
      <c r="E1395" s="75" t="s">
        <v>1266</v>
      </c>
      <c r="F1395" s="75" t="s">
        <v>1267</v>
      </c>
      <c r="G1395" s="75" t="s">
        <v>1268</v>
      </c>
    </row>
    <row r="1396" spans="1:7" x14ac:dyDescent="0.2">
      <c r="A1396" s="40">
        <v>6029</v>
      </c>
      <c r="B1396" s="39" t="s">
        <v>189</v>
      </c>
      <c r="C1396" s="40" t="s">
        <v>871</v>
      </c>
      <c r="D1396" s="75" t="s">
        <v>1271</v>
      </c>
      <c r="E1396" s="75" t="s">
        <v>1266</v>
      </c>
      <c r="F1396" s="75" t="s">
        <v>1267</v>
      </c>
      <c r="G1396" s="75" t="s">
        <v>1268</v>
      </c>
    </row>
    <row r="1397" spans="1:7" x14ac:dyDescent="0.2">
      <c r="A1397" s="40">
        <v>6033</v>
      </c>
      <c r="B1397" s="39" t="s">
        <v>873</v>
      </c>
      <c r="C1397" s="40" t="s">
        <v>871</v>
      </c>
      <c r="D1397" s="75" t="s">
        <v>1271</v>
      </c>
      <c r="E1397" s="75" t="s">
        <v>1266</v>
      </c>
      <c r="F1397" s="75" t="s">
        <v>1267</v>
      </c>
      <c r="G1397" s="75" t="s">
        <v>1268</v>
      </c>
    </row>
    <row r="1398" spans="1:7" x14ac:dyDescent="0.2">
      <c r="A1398" s="40">
        <v>6040</v>
      </c>
      <c r="B1398" s="39" t="s">
        <v>874</v>
      </c>
      <c r="C1398" s="40" t="s">
        <v>871</v>
      </c>
      <c r="D1398" s="75" t="s">
        <v>1271</v>
      </c>
      <c r="E1398" s="75" t="s">
        <v>1266</v>
      </c>
      <c r="F1398" s="75" t="s">
        <v>1267</v>
      </c>
      <c r="G1398" s="75" t="s">
        <v>1268</v>
      </c>
    </row>
    <row r="1399" spans="1:7" x14ac:dyDescent="0.2">
      <c r="A1399" s="40">
        <v>6050</v>
      </c>
      <c r="B1399" s="39" t="s">
        <v>875</v>
      </c>
      <c r="C1399" s="40" t="s">
        <v>871</v>
      </c>
      <c r="D1399" s="75" t="s">
        <v>1271</v>
      </c>
      <c r="E1399" s="75" t="s">
        <v>1266</v>
      </c>
      <c r="F1399" s="75" t="s">
        <v>1267</v>
      </c>
      <c r="G1399" s="75" t="s">
        <v>1268</v>
      </c>
    </row>
    <row r="1400" spans="1:7" x14ac:dyDescent="0.2">
      <c r="A1400" s="40">
        <v>6060</v>
      </c>
      <c r="B1400" s="39" t="s">
        <v>875</v>
      </c>
      <c r="C1400" s="40" t="s">
        <v>871</v>
      </c>
      <c r="D1400" s="75" t="s">
        <v>1269</v>
      </c>
      <c r="E1400" s="75" t="s">
        <v>1266</v>
      </c>
      <c r="F1400" s="75" t="s">
        <v>1268</v>
      </c>
      <c r="G1400" s="75" t="s">
        <v>1268</v>
      </c>
    </row>
    <row r="1401" spans="1:7" x14ac:dyDescent="0.2">
      <c r="A1401" s="40">
        <v>6063</v>
      </c>
      <c r="B1401" s="39" t="s">
        <v>876</v>
      </c>
      <c r="C1401" s="40" t="s">
        <v>871</v>
      </c>
      <c r="D1401" s="75" t="s">
        <v>1269</v>
      </c>
      <c r="E1401" s="75" t="s">
        <v>1266</v>
      </c>
      <c r="F1401" s="75" t="s">
        <v>1268</v>
      </c>
      <c r="G1401" s="75" t="s">
        <v>1268</v>
      </c>
    </row>
    <row r="1402" spans="1:7" x14ac:dyDescent="0.2">
      <c r="A1402" s="40">
        <v>6064</v>
      </c>
      <c r="B1402" s="39" t="s">
        <v>876</v>
      </c>
      <c r="C1402" s="40" t="s">
        <v>871</v>
      </c>
      <c r="D1402" s="75" t="s">
        <v>1271</v>
      </c>
      <c r="E1402" s="75" t="s">
        <v>1266</v>
      </c>
      <c r="F1402" s="75" t="s">
        <v>1267</v>
      </c>
      <c r="G1402" s="75" t="s">
        <v>1268</v>
      </c>
    </row>
    <row r="1403" spans="1:7" x14ac:dyDescent="0.2">
      <c r="A1403" s="40">
        <v>6065</v>
      </c>
      <c r="B1403" s="39" t="s">
        <v>877</v>
      </c>
      <c r="C1403" s="40" t="s">
        <v>871</v>
      </c>
      <c r="D1403" s="75" t="s">
        <v>1269</v>
      </c>
      <c r="E1403" s="75" t="s">
        <v>1266</v>
      </c>
      <c r="F1403" s="75" t="s">
        <v>1268</v>
      </c>
      <c r="G1403" s="75" t="s">
        <v>1267</v>
      </c>
    </row>
    <row r="1404" spans="1:7" x14ac:dyDescent="0.2">
      <c r="A1404" s="40">
        <v>6067</v>
      </c>
      <c r="B1404" s="39" t="s">
        <v>878</v>
      </c>
      <c r="C1404" s="40" t="s">
        <v>871</v>
      </c>
      <c r="D1404" s="75" t="s">
        <v>1269</v>
      </c>
      <c r="E1404" s="75" t="s">
        <v>1266</v>
      </c>
      <c r="F1404" s="75" t="s">
        <v>1268</v>
      </c>
      <c r="G1404" s="75" t="s">
        <v>1268</v>
      </c>
    </row>
    <row r="1405" spans="1:7" x14ac:dyDescent="0.2">
      <c r="A1405" s="40">
        <v>6068</v>
      </c>
      <c r="B1405" s="39" t="s">
        <v>879</v>
      </c>
      <c r="C1405" s="40" t="s">
        <v>871</v>
      </c>
      <c r="D1405" s="75" t="s">
        <v>1269</v>
      </c>
      <c r="E1405" s="75" t="s">
        <v>1266</v>
      </c>
      <c r="F1405" s="75" t="s">
        <v>1268</v>
      </c>
      <c r="G1405" s="75" t="s">
        <v>1268</v>
      </c>
    </row>
    <row r="1406" spans="1:7" x14ac:dyDescent="0.2">
      <c r="A1406" s="40">
        <v>6069</v>
      </c>
      <c r="B1406" s="39" t="s">
        <v>880</v>
      </c>
      <c r="C1406" s="40" t="s">
        <v>871</v>
      </c>
      <c r="D1406" s="75" t="s">
        <v>1269</v>
      </c>
      <c r="E1406" s="75" t="s">
        <v>1266</v>
      </c>
      <c r="F1406" s="75" t="s">
        <v>1268</v>
      </c>
      <c r="G1406" s="75" t="s">
        <v>1267</v>
      </c>
    </row>
    <row r="1407" spans="1:7" x14ac:dyDescent="0.2">
      <c r="A1407" s="40">
        <v>6070</v>
      </c>
      <c r="B1407" s="39" t="s">
        <v>881</v>
      </c>
      <c r="C1407" s="40" t="s">
        <v>871</v>
      </c>
      <c r="D1407" s="75" t="s">
        <v>1269</v>
      </c>
      <c r="E1407" s="75" t="s">
        <v>1266</v>
      </c>
      <c r="F1407" s="75" t="s">
        <v>1268</v>
      </c>
      <c r="G1407" s="75" t="s">
        <v>1267</v>
      </c>
    </row>
    <row r="1408" spans="1:7" x14ac:dyDescent="0.2">
      <c r="A1408" s="40">
        <v>6071</v>
      </c>
      <c r="B1408" s="39" t="s">
        <v>882</v>
      </c>
      <c r="C1408" s="40" t="s">
        <v>871</v>
      </c>
      <c r="D1408" s="75" t="s">
        <v>1269</v>
      </c>
      <c r="E1408" s="75" t="s">
        <v>1266</v>
      </c>
      <c r="F1408" s="75" t="s">
        <v>1268</v>
      </c>
      <c r="G1408" s="75" t="s">
        <v>1268</v>
      </c>
    </row>
    <row r="1409" spans="1:7" x14ac:dyDescent="0.2">
      <c r="A1409" s="40">
        <v>6072</v>
      </c>
      <c r="B1409" s="39" t="s">
        <v>883</v>
      </c>
      <c r="C1409" s="40" t="s">
        <v>871</v>
      </c>
      <c r="D1409" s="75" t="s">
        <v>1269</v>
      </c>
      <c r="E1409" s="75" t="s">
        <v>1266</v>
      </c>
      <c r="F1409" s="75" t="s">
        <v>1268</v>
      </c>
      <c r="G1409" s="75" t="s">
        <v>1267</v>
      </c>
    </row>
    <row r="1410" spans="1:7" x14ac:dyDescent="0.2">
      <c r="A1410" s="40">
        <v>6073</v>
      </c>
      <c r="B1410" s="39" t="s">
        <v>884</v>
      </c>
      <c r="C1410" s="40" t="s">
        <v>871</v>
      </c>
      <c r="D1410" s="75" t="s">
        <v>1269</v>
      </c>
      <c r="E1410" s="75" t="s">
        <v>1266</v>
      </c>
      <c r="F1410" s="75" t="s">
        <v>1268</v>
      </c>
      <c r="G1410" s="75" t="s">
        <v>1267</v>
      </c>
    </row>
    <row r="1411" spans="1:7" x14ac:dyDescent="0.2">
      <c r="A1411" s="40">
        <v>6074</v>
      </c>
      <c r="B1411" s="39" t="s">
        <v>885</v>
      </c>
      <c r="C1411" s="40" t="s">
        <v>871</v>
      </c>
      <c r="D1411" s="75" t="s">
        <v>1269</v>
      </c>
      <c r="E1411" s="75" t="s">
        <v>1266</v>
      </c>
      <c r="F1411" s="75" t="s">
        <v>1268</v>
      </c>
      <c r="G1411" s="75" t="s">
        <v>1267</v>
      </c>
    </row>
    <row r="1412" spans="1:7" x14ac:dyDescent="0.2">
      <c r="A1412" s="40">
        <v>6075</v>
      </c>
      <c r="B1412" s="39" t="s">
        <v>886</v>
      </c>
      <c r="C1412" s="40" t="s">
        <v>871</v>
      </c>
      <c r="D1412" s="75" t="s">
        <v>1269</v>
      </c>
      <c r="E1412" s="75" t="s">
        <v>1266</v>
      </c>
      <c r="F1412" s="75" t="s">
        <v>1268</v>
      </c>
      <c r="G1412" s="75" t="s">
        <v>1267</v>
      </c>
    </row>
    <row r="1413" spans="1:7" x14ac:dyDescent="0.2">
      <c r="A1413" s="40">
        <v>6080</v>
      </c>
      <c r="B1413" s="39" t="s">
        <v>2173</v>
      </c>
      <c r="C1413" s="40" t="s">
        <v>871</v>
      </c>
      <c r="D1413" s="75" t="s">
        <v>1269</v>
      </c>
      <c r="E1413" s="75" t="s">
        <v>1266</v>
      </c>
      <c r="F1413" s="75" t="s">
        <v>1268</v>
      </c>
      <c r="G1413" s="75" t="s">
        <v>1268</v>
      </c>
    </row>
    <row r="1414" spans="1:7" x14ac:dyDescent="0.2">
      <c r="A1414" s="40">
        <v>6082</v>
      </c>
      <c r="B1414" s="39" t="s">
        <v>2174</v>
      </c>
      <c r="C1414" s="40" t="s">
        <v>871</v>
      </c>
      <c r="D1414" s="75" t="s">
        <v>1269</v>
      </c>
      <c r="E1414" s="75" t="s">
        <v>1266</v>
      </c>
      <c r="F1414" s="75" t="s">
        <v>1268</v>
      </c>
      <c r="G1414" s="75" t="s">
        <v>1267</v>
      </c>
    </row>
    <row r="1415" spans="1:7" x14ac:dyDescent="0.2">
      <c r="A1415" s="40">
        <v>6083</v>
      </c>
      <c r="B1415" s="39" t="s">
        <v>2175</v>
      </c>
      <c r="C1415" s="40" t="s">
        <v>871</v>
      </c>
      <c r="D1415" s="75" t="s">
        <v>1269</v>
      </c>
      <c r="E1415" s="75" t="s">
        <v>1266</v>
      </c>
      <c r="F1415" s="75" t="s">
        <v>1268</v>
      </c>
      <c r="G1415" s="75" t="s">
        <v>1267</v>
      </c>
    </row>
    <row r="1416" spans="1:7" x14ac:dyDescent="0.2">
      <c r="A1416" s="40">
        <v>6091</v>
      </c>
      <c r="B1416" s="39" t="s">
        <v>2176</v>
      </c>
      <c r="C1416" s="40" t="s">
        <v>871</v>
      </c>
      <c r="D1416" s="75" t="s">
        <v>1269</v>
      </c>
      <c r="E1416" s="75" t="s">
        <v>1266</v>
      </c>
      <c r="F1416" s="75" t="s">
        <v>1268</v>
      </c>
      <c r="G1416" s="75" t="s">
        <v>1268</v>
      </c>
    </row>
    <row r="1417" spans="1:7" x14ac:dyDescent="0.2">
      <c r="A1417" s="40">
        <v>6092</v>
      </c>
      <c r="B1417" s="39" t="s">
        <v>2177</v>
      </c>
      <c r="C1417" s="40" t="s">
        <v>871</v>
      </c>
      <c r="D1417" s="75" t="s">
        <v>1269</v>
      </c>
      <c r="E1417" s="75" t="s">
        <v>1266</v>
      </c>
      <c r="F1417" s="75" t="s">
        <v>1268</v>
      </c>
      <c r="G1417" s="75" t="s">
        <v>1267</v>
      </c>
    </row>
    <row r="1418" spans="1:7" x14ac:dyDescent="0.2">
      <c r="A1418" s="40">
        <v>6094</v>
      </c>
      <c r="B1418" s="39" t="s">
        <v>2178</v>
      </c>
      <c r="C1418" s="40" t="s">
        <v>871</v>
      </c>
      <c r="D1418" s="75" t="s">
        <v>1269</v>
      </c>
      <c r="E1418" s="75" t="s">
        <v>1266</v>
      </c>
      <c r="F1418" s="75" t="s">
        <v>1268</v>
      </c>
      <c r="G1418" s="75" t="s">
        <v>1268</v>
      </c>
    </row>
    <row r="1419" spans="1:7" x14ac:dyDescent="0.2">
      <c r="A1419" s="40">
        <v>6095</v>
      </c>
      <c r="B1419" s="39" t="s">
        <v>2179</v>
      </c>
      <c r="C1419" s="40" t="s">
        <v>871</v>
      </c>
      <c r="D1419" s="75" t="s">
        <v>1269</v>
      </c>
      <c r="E1419" s="75" t="s">
        <v>1266</v>
      </c>
      <c r="F1419" s="75" t="s">
        <v>1268</v>
      </c>
      <c r="G1419" s="75" t="s">
        <v>1267</v>
      </c>
    </row>
    <row r="1420" spans="1:7" x14ac:dyDescent="0.2">
      <c r="A1420" s="40">
        <v>6100</v>
      </c>
      <c r="B1420" s="39" t="s">
        <v>2180</v>
      </c>
      <c r="C1420" s="40" t="s">
        <v>871</v>
      </c>
      <c r="D1420" s="75" t="s">
        <v>1269</v>
      </c>
      <c r="E1420" s="75" t="s">
        <v>1266</v>
      </c>
      <c r="F1420" s="75" t="s">
        <v>1268</v>
      </c>
      <c r="G1420" s="75" t="s">
        <v>1268</v>
      </c>
    </row>
    <row r="1421" spans="1:7" x14ac:dyDescent="0.2">
      <c r="A1421" s="40">
        <v>6103</v>
      </c>
      <c r="B1421" s="39" t="s">
        <v>2181</v>
      </c>
      <c r="C1421" s="40" t="s">
        <v>871</v>
      </c>
      <c r="D1421" s="75" t="s">
        <v>1269</v>
      </c>
      <c r="E1421" s="75" t="s">
        <v>1266</v>
      </c>
      <c r="F1421" s="75" t="s">
        <v>1268</v>
      </c>
      <c r="G1421" s="75" t="s">
        <v>1267</v>
      </c>
    </row>
    <row r="1422" spans="1:7" x14ac:dyDescent="0.2">
      <c r="A1422" s="40">
        <v>6105</v>
      </c>
      <c r="B1422" s="39" t="s">
        <v>2182</v>
      </c>
      <c r="C1422" s="40" t="s">
        <v>871</v>
      </c>
      <c r="D1422" s="75" t="s">
        <v>1269</v>
      </c>
      <c r="E1422" s="75" t="s">
        <v>1266</v>
      </c>
      <c r="F1422" s="75" t="s">
        <v>1268</v>
      </c>
      <c r="G1422" s="75" t="s">
        <v>1267</v>
      </c>
    </row>
    <row r="1423" spans="1:7" x14ac:dyDescent="0.2">
      <c r="A1423" s="40">
        <v>6108</v>
      </c>
      <c r="B1423" s="39" t="s">
        <v>2183</v>
      </c>
      <c r="C1423" s="40" t="s">
        <v>871</v>
      </c>
      <c r="D1423" s="75" t="s">
        <v>1269</v>
      </c>
      <c r="E1423" s="75" t="s">
        <v>1266</v>
      </c>
      <c r="F1423" s="75" t="s">
        <v>1268</v>
      </c>
      <c r="G1423" s="75" t="s">
        <v>1267</v>
      </c>
    </row>
    <row r="1424" spans="1:7" x14ac:dyDescent="0.2">
      <c r="A1424" s="40">
        <v>6111</v>
      </c>
      <c r="B1424" s="39" t="s">
        <v>2184</v>
      </c>
      <c r="C1424" s="40" t="s">
        <v>871</v>
      </c>
      <c r="D1424" s="75" t="s">
        <v>1269</v>
      </c>
      <c r="E1424" s="75" t="s">
        <v>1266</v>
      </c>
      <c r="F1424" s="75" t="s">
        <v>1268</v>
      </c>
      <c r="G1424" s="75" t="s">
        <v>1268</v>
      </c>
    </row>
    <row r="1425" spans="1:7" x14ac:dyDescent="0.2">
      <c r="A1425" s="40">
        <v>6112</v>
      </c>
      <c r="B1425" s="39" t="s">
        <v>2185</v>
      </c>
      <c r="C1425" s="40" t="s">
        <v>871</v>
      </c>
      <c r="D1425" s="75" t="s">
        <v>1269</v>
      </c>
      <c r="E1425" s="75" t="s">
        <v>1266</v>
      </c>
      <c r="F1425" s="75" t="s">
        <v>1268</v>
      </c>
      <c r="G1425" s="75" t="s">
        <v>1268</v>
      </c>
    </row>
    <row r="1426" spans="1:7" x14ac:dyDescent="0.2">
      <c r="A1426" s="40">
        <v>6113</v>
      </c>
      <c r="B1426" s="39" t="s">
        <v>2186</v>
      </c>
      <c r="C1426" s="40" t="s">
        <v>871</v>
      </c>
      <c r="D1426" s="75" t="s">
        <v>1269</v>
      </c>
      <c r="E1426" s="75" t="s">
        <v>1266</v>
      </c>
      <c r="F1426" s="75" t="s">
        <v>1268</v>
      </c>
      <c r="G1426" s="75" t="s">
        <v>1267</v>
      </c>
    </row>
    <row r="1427" spans="1:7" x14ac:dyDescent="0.2">
      <c r="A1427" s="40">
        <v>6114</v>
      </c>
      <c r="B1427" s="39" t="s">
        <v>2187</v>
      </c>
      <c r="C1427" s="40" t="s">
        <v>871</v>
      </c>
      <c r="D1427" s="75" t="s">
        <v>1269</v>
      </c>
      <c r="E1427" s="75" t="s">
        <v>1266</v>
      </c>
      <c r="F1427" s="75" t="s">
        <v>1268</v>
      </c>
      <c r="G1427" s="75" t="s">
        <v>1268</v>
      </c>
    </row>
    <row r="1428" spans="1:7" x14ac:dyDescent="0.2">
      <c r="A1428" s="40">
        <v>6115</v>
      </c>
      <c r="B1428" s="39" t="s">
        <v>2188</v>
      </c>
      <c r="C1428" s="40" t="s">
        <v>871</v>
      </c>
      <c r="D1428" s="75" t="s">
        <v>1269</v>
      </c>
      <c r="E1428" s="75" t="s">
        <v>1266</v>
      </c>
      <c r="F1428" s="75" t="s">
        <v>1268</v>
      </c>
      <c r="G1428" s="75" t="s">
        <v>1267</v>
      </c>
    </row>
    <row r="1429" spans="1:7" x14ac:dyDescent="0.2">
      <c r="A1429" s="40">
        <v>6121</v>
      </c>
      <c r="B1429" s="39" t="s">
        <v>2189</v>
      </c>
      <c r="C1429" s="40" t="s">
        <v>871</v>
      </c>
      <c r="D1429" s="75" t="s">
        <v>1269</v>
      </c>
      <c r="E1429" s="75" t="s">
        <v>1266</v>
      </c>
      <c r="F1429" s="75" t="s">
        <v>1268</v>
      </c>
      <c r="G1429" s="75" t="s">
        <v>1267</v>
      </c>
    </row>
    <row r="1430" spans="1:7" x14ac:dyDescent="0.2">
      <c r="A1430" s="40">
        <v>6122</v>
      </c>
      <c r="B1430" s="39" t="s">
        <v>2190</v>
      </c>
      <c r="C1430" s="40" t="s">
        <v>871</v>
      </c>
      <c r="D1430" s="75" t="s">
        <v>1269</v>
      </c>
      <c r="E1430" s="75" t="s">
        <v>1266</v>
      </c>
      <c r="F1430" s="75" t="s">
        <v>1268</v>
      </c>
      <c r="G1430" s="75" t="s">
        <v>1267</v>
      </c>
    </row>
    <row r="1431" spans="1:7" x14ac:dyDescent="0.2">
      <c r="A1431" s="40">
        <v>6123</v>
      </c>
      <c r="B1431" s="39" t="s">
        <v>2191</v>
      </c>
      <c r="C1431" s="40" t="s">
        <v>871</v>
      </c>
      <c r="D1431" s="75" t="s">
        <v>1269</v>
      </c>
      <c r="E1431" s="75" t="s">
        <v>1266</v>
      </c>
      <c r="F1431" s="75" t="s">
        <v>1268</v>
      </c>
      <c r="G1431" s="75" t="s">
        <v>1267</v>
      </c>
    </row>
    <row r="1432" spans="1:7" x14ac:dyDescent="0.2">
      <c r="A1432" s="40">
        <v>6130</v>
      </c>
      <c r="B1432" s="39" t="s">
        <v>2192</v>
      </c>
      <c r="C1432" s="40" t="s">
        <v>871</v>
      </c>
      <c r="D1432" s="75" t="s">
        <v>1269</v>
      </c>
      <c r="E1432" s="75" t="s">
        <v>1266</v>
      </c>
      <c r="F1432" s="75" t="s">
        <v>1268</v>
      </c>
      <c r="G1432" s="75" t="s">
        <v>1268</v>
      </c>
    </row>
    <row r="1433" spans="1:7" x14ac:dyDescent="0.2">
      <c r="A1433" s="40">
        <v>6131</v>
      </c>
      <c r="B1433" s="39" t="s">
        <v>2192</v>
      </c>
      <c r="C1433" s="40" t="s">
        <v>871</v>
      </c>
      <c r="D1433" s="75" t="s">
        <v>1271</v>
      </c>
      <c r="E1433" s="75" t="s">
        <v>1266</v>
      </c>
      <c r="F1433" s="75" t="s">
        <v>1267</v>
      </c>
      <c r="G1433" s="75" t="s">
        <v>1268</v>
      </c>
    </row>
    <row r="1434" spans="1:7" x14ac:dyDescent="0.2">
      <c r="A1434" s="40">
        <v>6133</v>
      </c>
      <c r="B1434" s="39" t="s">
        <v>2193</v>
      </c>
      <c r="C1434" s="40" t="s">
        <v>871</v>
      </c>
      <c r="D1434" s="75" t="s">
        <v>1269</v>
      </c>
      <c r="E1434" s="75" t="s">
        <v>1266</v>
      </c>
      <c r="F1434" s="75" t="s">
        <v>1268</v>
      </c>
      <c r="G1434" s="75" t="s">
        <v>1267</v>
      </c>
    </row>
    <row r="1435" spans="1:7" x14ac:dyDescent="0.2">
      <c r="A1435" s="40">
        <v>6134</v>
      </c>
      <c r="B1435" s="39" t="s">
        <v>2194</v>
      </c>
      <c r="C1435" s="40" t="s">
        <v>871</v>
      </c>
      <c r="D1435" s="75" t="s">
        <v>1269</v>
      </c>
      <c r="E1435" s="75" t="s">
        <v>1266</v>
      </c>
      <c r="F1435" s="75" t="s">
        <v>1268</v>
      </c>
      <c r="G1435" s="75" t="s">
        <v>1268</v>
      </c>
    </row>
    <row r="1436" spans="1:7" x14ac:dyDescent="0.2">
      <c r="A1436" s="40">
        <v>6135</v>
      </c>
      <c r="B1436" s="39" t="s">
        <v>2195</v>
      </c>
      <c r="C1436" s="40" t="s">
        <v>871</v>
      </c>
      <c r="D1436" s="75" t="s">
        <v>1269</v>
      </c>
      <c r="E1436" s="75" t="s">
        <v>1266</v>
      </c>
      <c r="F1436" s="75" t="s">
        <v>1268</v>
      </c>
      <c r="G1436" s="75" t="s">
        <v>1268</v>
      </c>
    </row>
    <row r="1437" spans="1:7" x14ac:dyDescent="0.2">
      <c r="A1437" s="40">
        <v>6141</v>
      </c>
      <c r="B1437" s="39" t="s">
        <v>2196</v>
      </c>
      <c r="C1437" s="40" t="s">
        <v>871</v>
      </c>
      <c r="D1437" s="75" t="s">
        <v>1269</v>
      </c>
      <c r="E1437" s="75" t="s">
        <v>1266</v>
      </c>
      <c r="F1437" s="75" t="s">
        <v>1268</v>
      </c>
      <c r="G1437" s="75" t="s">
        <v>1267</v>
      </c>
    </row>
    <row r="1438" spans="1:7" x14ac:dyDescent="0.2">
      <c r="A1438" s="40">
        <v>6142</v>
      </c>
      <c r="B1438" s="39" t="s">
        <v>2197</v>
      </c>
      <c r="C1438" s="40" t="s">
        <v>871</v>
      </c>
      <c r="D1438" s="75" t="s">
        <v>1269</v>
      </c>
      <c r="E1438" s="75" t="s">
        <v>1266</v>
      </c>
      <c r="F1438" s="75" t="s">
        <v>1268</v>
      </c>
      <c r="G1438" s="75" t="s">
        <v>1267</v>
      </c>
    </row>
    <row r="1439" spans="1:7" x14ac:dyDescent="0.2">
      <c r="A1439" s="40">
        <v>6143</v>
      </c>
      <c r="B1439" s="39" t="s">
        <v>2198</v>
      </c>
      <c r="C1439" s="40" t="s">
        <v>871</v>
      </c>
      <c r="D1439" s="75" t="s">
        <v>1269</v>
      </c>
      <c r="E1439" s="75" t="s">
        <v>1266</v>
      </c>
      <c r="F1439" s="75" t="s">
        <v>1268</v>
      </c>
      <c r="G1439" s="75" t="s">
        <v>1268</v>
      </c>
    </row>
    <row r="1440" spans="1:7" x14ac:dyDescent="0.2">
      <c r="A1440" s="40">
        <v>6145</v>
      </c>
      <c r="B1440" s="39" t="s">
        <v>2199</v>
      </c>
      <c r="C1440" s="40" t="s">
        <v>871</v>
      </c>
      <c r="D1440" s="75" t="s">
        <v>1269</v>
      </c>
      <c r="E1440" s="75" t="s">
        <v>1266</v>
      </c>
      <c r="F1440" s="75" t="s">
        <v>1268</v>
      </c>
      <c r="G1440" s="75" t="s">
        <v>1267</v>
      </c>
    </row>
    <row r="1441" spans="1:7" x14ac:dyDescent="0.2">
      <c r="A1441" s="40">
        <v>6150</v>
      </c>
      <c r="B1441" s="39" t="s">
        <v>887</v>
      </c>
      <c r="C1441" s="40" t="s">
        <v>871</v>
      </c>
      <c r="D1441" s="75" t="s">
        <v>1269</v>
      </c>
      <c r="E1441" s="75" t="s">
        <v>1266</v>
      </c>
      <c r="F1441" s="75" t="s">
        <v>1268</v>
      </c>
      <c r="G1441" s="75" t="s">
        <v>1268</v>
      </c>
    </row>
    <row r="1442" spans="1:7" x14ac:dyDescent="0.2">
      <c r="A1442" s="40">
        <v>6152</v>
      </c>
      <c r="B1442" s="39" t="s">
        <v>888</v>
      </c>
      <c r="C1442" s="40" t="s">
        <v>871</v>
      </c>
      <c r="D1442" s="75" t="s">
        <v>1269</v>
      </c>
      <c r="E1442" s="75" t="s">
        <v>1266</v>
      </c>
      <c r="F1442" s="75" t="s">
        <v>1268</v>
      </c>
      <c r="G1442" s="75" t="s">
        <v>1267</v>
      </c>
    </row>
    <row r="1443" spans="1:7" x14ac:dyDescent="0.2">
      <c r="A1443" s="40">
        <v>6154</v>
      </c>
      <c r="B1443" s="39" t="s">
        <v>889</v>
      </c>
      <c r="C1443" s="40" t="s">
        <v>871</v>
      </c>
      <c r="D1443" s="75" t="s">
        <v>1269</v>
      </c>
      <c r="E1443" s="75" t="s">
        <v>1266</v>
      </c>
      <c r="F1443" s="75" t="s">
        <v>1268</v>
      </c>
      <c r="G1443" s="75" t="s">
        <v>1267</v>
      </c>
    </row>
    <row r="1444" spans="1:7" x14ac:dyDescent="0.2">
      <c r="A1444" s="40">
        <v>6156</v>
      </c>
      <c r="B1444" s="39" t="s">
        <v>890</v>
      </c>
      <c r="C1444" s="40" t="s">
        <v>871</v>
      </c>
      <c r="D1444" s="75" t="s">
        <v>1269</v>
      </c>
      <c r="E1444" s="75" t="s">
        <v>1266</v>
      </c>
      <c r="F1444" s="75" t="s">
        <v>1268</v>
      </c>
      <c r="G1444" s="75" t="s">
        <v>1267</v>
      </c>
    </row>
    <row r="1445" spans="1:7" x14ac:dyDescent="0.2">
      <c r="A1445" s="40">
        <v>6157</v>
      </c>
      <c r="B1445" s="39" t="s">
        <v>891</v>
      </c>
      <c r="C1445" s="40" t="s">
        <v>871</v>
      </c>
      <c r="D1445" s="75" t="s">
        <v>1269</v>
      </c>
      <c r="E1445" s="75" t="s">
        <v>1266</v>
      </c>
      <c r="F1445" s="75" t="s">
        <v>1268</v>
      </c>
      <c r="G1445" s="75" t="s">
        <v>1267</v>
      </c>
    </row>
    <row r="1446" spans="1:7" x14ac:dyDescent="0.2">
      <c r="A1446" s="40">
        <v>6161</v>
      </c>
      <c r="B1446" s="39" t="s">
        <v>892</v>
      </c>
      <c r="C1446" s="40" t="s">
        <v>871</v>
      </c>
      <c r="D1446" s="75" t="s">
        <v>1269</v>
      </c>
      <c r="E1446" s="75" t="s">
        <v>1266</v>
      </c>
      <c r="F1446" s="75" t="s">
        <v>1268</v>
      </c>
      <c r="G1446" s="75" t="s">
        <v>1267</v>
      </c>
    </row>
    <row r="1447" spans="1:7" x14ac:dyDescent="0.2">
      <c r="A1447" s="40">
        <v>6162</v>
      </c>
      <c r="B1447" s="39" t="s">
        <v>893</v>
      </c>
      <c r="C1447" s="40" t="s">
        <v>871</v>
      </c>
      <c r="D1447" s="75" t="s">
        <v>1269</v>
      </c>
      <c r="E1447" s="75" t="s">
        <v>1266</v>
      </c>
      <c r="F1447" s="75" t="s">
        <v>1268</v>
      </c>
      <c r="G1447" s="75" t="s">
        <v>1268</v>
      </c>
    </row>
    <row r="1448" spans="1:7" x14ac:dyDescent="0.2">
      <c r="A1448" s="40">
        <v>6165</v>
      </c>
      <c r="B1448" s="39" t="s">
        <v>894</v>
      </c>
      <c r="C1448" s="40" t="s">
        <v>871</v>
      </c>
      <c r="D1448" s="75" t="s">
        <v>1269</v>
      </c>
      <c r="E1448" s="75" t="s">
        <v>1266</v>
      </c>
      <c r="F1448" s="75" t="s">
        <v>1268</v>
      </c>
      <c r="G1448" s="75" t="s">
        <v>1267</v>
      </c>
    </row>
    <row r="1449" spans="1:7" x14ac:dyDescent="0.2">
      <c r="A1449" s="40">
        <v>6166</v>
      </c>
      <c r="B1449" s="39" t="s">
        <v>895</v>
      </c>
      <c r="C1449" s="40" t="s">
        <v>871</v>
      </c>
      <c r="D1449" s="75" t="s">
        <v>1269</v>
      </c>
      <c r="E1449" s="75" t="s">
        <v>1266</v>
      </c>
      <c r="F1449" s="75" t="s">
        <v>1268</v>
      </c>
      <c r="G1449" s="75" t="s">
        <v>1268</v>
      </c>
    </row>
    <row r="1450" spans="1:7" x14ac:dyDescent="0.2">
      <c r="A1450" s="40">
        <v>6167</v>
      </c>
      <c r="B1450" s="39" t="s">
        <v>896</v>
      </c>
      <c r="C1450" s="40" t="s">
        <v>871</v>
      </c>
      <c r="D1450" s="75" t="s">
        <v>1269</v>
      </c>
      <c r="E1450" s="75" t="s">
        <v>1266</v>
      </c>
      <c r="F1450" s="75" t="s">
        <v>1268</v>
      </c>
      <c r="G1450" s="75" t="s">
        <v>1268</v>
      </c>
    </row>
    <row r="1451" spans="1:7" x14ac:dyDescent="0.2">
      <c r="A1451" s="40">
        <v>6170</v>
      </c>
      <c r="B1451" s="39" t="s">
        <v>897</v>
      </c>
      <c r="C1451" s="40" t="s">
        <v>871</v>
      </c>
      <c r="D1451" s="75" t="s">
        <v>1269</v>
      </c>
      <c r="E1451" s="75" t="s">
        <v>1266</v>
      </c>
      <c r="F1451" s="75" t="s">
        <v>1268</v>
      </c>
      <c r="G1451" s="75" t="s">
        <v>1268</v>
      </c>
    </row>
    <row r="1452" spans="1:7" x14ac:dyDescent="0.2">
      <c r="A1452" s="40">
        <v>6173</v>
      </c>
      <c r="B1452" s="39" t="s">
        <v>898</v>
      </c>
      <c r="C1452" s="40" t="s">
        <v>871</v>
      </c>
      <c r="D1452" s="75" t="s">
        <v>1269</v>
      </c>
      <c r="E1452" s="75" t="s">
        <v>1266</v>
      </c>
      <c r="F1452" s="75" t="s">
        <v>1268</v>
      </c>
      <c r="G1452" s="75" t="s">
        <v>1268</v>
      </c>
    </row>
    <row r="1453" spans="1:7" x14ac:dyDescent="0.2">
      <c r="A1453" s="40">
        <v>6175</v>
      </c>
      <c r="B1453" s="39" t="s">
        <v>900</v>
      </c>
      <c r="C1453" s="40" t="s">
        <v>871</v>
      </c>
      <c r="D1453" s="75" t="s">
        <v>1269</v>
      </c>
      <c r="E1453" s="75" t="s">
        <v>1266</v>
      </c>
      <c r="F1453" s="75" t="s">
        <v>1268</v>
      </c>
      <c r="G1453" s="75" t="s">
        <v>1268</v>
      </c>
    </row>
    <row r="1454" spans="1:7" x14ac:dyDescent="0.2">
      <c r="A1454" s="40">
        <v>6176</v>
      </c>
      <c r="B1454" s="39" t="s">
        <v>901</v>
      </c>
      <c r="C1454" s="40" t="s">
        <v>871</v>
      </c>
      <c r="D1454" s="75" t="s">
        <v>1269</v>
      </c>
      <c r="E1454" s="75" t="s">
        <v>1266</v>
      </c>
      <c r="F1454" s="75" t="s">
        <v>1268</v>
      </c>
      <c r="G1454" s="75" t="s">
        <v>1268</v>
      </c>
    </row>
    <row r="1455" spans="1:7" x14ac:dyDescent="0.2">
      <c r="A1455" s="40">
        <v>6177</v>
      </c>
      <c r="B1455" s="39" t="s">
        <v>901</v>
      </c>
      <c r="C1455" s="40" t="s">
        <v>871</v>
      </c>
      <c r="D1455" s="75" t="s">
        <v>1271</v>
      </c>
      <c r="E1455" s="75" t="s">
        <v>1266</v>
      </c>
      <c r="F1455" s="75" t="s">
        <v>1267</v>
      </c>
      <c r="G1455" s="75" t="s">
        <v>1268</v>
      </c>
    </row>
    <row r="1456" spans="1:7" x14ac:dyDescent="0.2">
      <c r="A1456" s="40">
        <v>6178</v>
      </c>
      <c r="B1456" s="39" t="s">
        <v>902</v>
      </c>
      <c r="C1456" s="40" t="s">
        <v>871</v>
      </c>
      <c r="D1456" s="75" t="s">
        <v>1269</v>
      </c>
      <c r="E1456" s="75" t="s">
        <v>1266</v>
      </c>
      <c r="F1456" s="75" t="s">
        <v>1268</v>
      </c>
      <c r="G1456" s="75" t="s">
        <v>1267</v>
      </c>
    </row>
    <row r="1457" spans="1:7" x14ac:dyDescent="0.2">
      <c r="A1457" s="40">
        <v>6179</v>
      </c>
      <c r="B1457" s="39" t="s">
        <v>903</v>
      </c>
      <c r="C1457" s="40" t="s">
        <v>871</v>
      </c>
      <c r="D1457" s="75" t="s">
        <v>1269</v>
      </c>
      <c r="E1457" s="75" t="s">
        <v>1266</v>
      </c>
      <c r="F1457" s="75" t="s">
        <v>1268</v>
      </c>
      <c r="G1457" s="75" t="s">
        <v>1267</v>
      </c>
    </row>
    <row r="1458" spans="1:7" x14ac:dyDescent="0.2">
      <c r="A1458" s="40">
        <v>6181</v>
      </c>
      <c r="B1458" s="39" t="s">
        <v>904</v>
      </c>
      <c r="C1458" s="40" t="s">
        <v>871</v>
      </c>
      <c r="D1458" s="75" t="s">
        <v>1269</v>
      </c>
      <c r="E1458" s="75" t="s">
        <v>1266</v>
      </c>
      <c r="F1458" s="75" t="s">
        <v>1268</v>
      </c>
      <c r="G1458" s="75" t="s">
        <v>1268</v>
      </c>
    </row>
    <row r="1459" spans="1:7" x14ac:dyDescent="0.2">
      <c r="A1459" s="40">
        <v>6182</v>
      </c>
      <c r="B1459" s="39" t="s">
        <v>905</v>
      </c>
      <c r="C1459" s="40" t="s">
        <v>871</v>
      </c>
      <c r="D1459" s="75" t="s">
        <v>1269</v>
      </c>
      <c r="E1459" s="75" t="s">
        <v>1266</v>
      </c>
      <c r="F1459" s="75" t="s">
        <v>1268</v>
      </c>
      <c r="G1459" s="75" t="s">
        <v>1268</v>
      </c>
    </row>
    <row r="1460" spans="1:7" x14ac:dyDescent="0.2">
      <c r="A1460" s="40">
        <v>6183</v>
      </c>
      <c r="B1460" s="39" t="s">
        <v>906</v>
      </c>
      <c r="C1460" s="40" t="s">
        <v>871</v>
      </c>
      <c r="D1460" s="75" t="s">
        <v>1269</v>
      </c>
      <c r="E1460" s="75" t="s">
        <v>1266</v>
      </c>
      <c r="F1460" s="75" t="s">
        <v>1268</v>
      </c>
      <c r="G1460" s="75" t="s">
        <v>1267</v>
      </c>
    </row>
    <row r="1461" spans="1:7" x14ac:dyDescent="0.2">
      <c r="A1461" s="40">
        <v>6184</v>
      </c>
      <c r="B1461" s="39" t="s">
        <v>907</v>
      </c>
      <c r="C1461" s="40" t="s">
        <v>871</v>
      </c>
      <c r="D1461" s="75" t="s">
        <v>1269</v>
      </c>
      <c r="E1461" s="75" t="s">
        <v>1266</v>
      </c>
      <c r="F1461" s="75" t="s">
        <v>1268</v>
      </c>
      <c r="G1461" s="75" t="s">
        <v>1267</v>
      </c>
    </row>
    <row r="1462" spans="1:7" x14ac:dyDescent="0.2">
      <c r="A1462" s="40">
        <v>6200</v>
      </c>
      <c r="B1462" s="39" t="s">
        <v>908</v>
      </c>
      <c r="C1462" s="40" t="s">
        <v>871</v>
      </c>
      <c r="D1462" s="75" t="s">
        <v>1269</v>
      </c>
      <c r="E1462" s="75" t="s">
        <v>1266</v>
      </c>
      <c r="F1462" s="75" t="s">
        <v>1268</v>
      </c>
      <c r="G1462" s="75" t="s">
        <v>1268</v>
      </c>
    </row>
    <row r="1463" spans="1:7" x14ac:dyDescent="0.2">
      <c r="A1463" s="40">
        <v>6210</v>
      </c>
      <c r="B1463" s="39" t="s">
        <v>909</v>
      </c>
      <c r="C1463" s="40" t="s">
        <v>871</v>
      </c>
      <c r="D1463" s="75" t="s">
        <v>1269</v>
      </c>
      <c r="E1463" s="75" t="s">
        <v>1266</v>
      </c>
      <c r="F1463" s="75" t="s">
        <v>1268</v>
      </c>
      <c r="G1463" s="75" t="s">
        <v>1267</v>
      </c>
    </row>
    <row r="1464" spans="1:7" x14ac:dyDescent="0.2">
      <c r="A1464" s="40">
        <v>6212</v>
      </c>
      <c r="B1464" s="39" t="s">
        <v>910</v>
      </c>
      <c r="C1464" s="40" t="s">
        <v>871</v>
      </c>
      <c r="D1464" s="75" t="s">
        <v>1269</v>
      </c>
      <c r="E1464" s="75" t="s">
        <v>1266</v>
      </c>
      <c r="F1464" s="75" t="s">
        <v>1268</v>
      </c>
      <c r="G1464" s="75" t="s">
        <v>1268</v>
      </c>
    </row>
    <row r="1465" spans="1:7" x14ac:dyDescent="0.2">
      <c r="A1465" s="40">
        <v>6213</v>
      </c>
      <c r="B1465" s="39" t="s">
        <v>911</v>
      </c>
      <c r="C1465" s="40" t="s">
        <v>871</v>
      </c>
      <c r="D1465" s="75" t="s">
        <v>1269</v>
      </c>
      <c r="E1465" s="75" t="s">
        <v>1266</v>
      </c>
      <c r="F1465" s="75" t="s">
        <v>1268</v>
      </c>
      <c r="G1465" s="75" t="s">
        <v>1267</v>
      </c>
    </row>
    <row r="1466" spans="1:7" x14ac:dyDescent="0.2">
      <c r="A1466" s="40">
        <v>6215</v>
      </c>
      <c r="B1466" s="39" t="s">
        <v>912</v>
      </c>
      <c r="C1466" s="40" t="s">
        <v>871</v>
      </c>
      <c r="D1466" s="75" t="s">
        <v>1269</v>
      </c>
      <c r="E1466" s="75" t="s">
        <v>1266</v>
      </c>
      <c r="F1466" s="75" t="s">
        <v>1268</v>
      </c>
      <c r="G1466" s="75" t="s">
        <v>1268</v>
      </c>
    </row>
    <row r="1467" spans="1:7" x14ac:dyDescent="0.2">
      <c r="A1467" s="40">
        <v>6222</v>
      </c>
      <c r="B1467" s="39" t="s">
        <v>913</v>
      </c>
      <c r="C1467" s="40" t="s">
        <v>871</v>
      </c>
      <c r="D1467" s="75" t="s">
        <v>1269</v>
      </c>
      <c r="E1467" s="75" t="s">
        <v>1266</v>
      </c>
      <c r="F1467" s="75" t="s">
        <v>1268</v>
      </c>
      <c r="G1467" s="75" t="s">
        <v>1267</v>
      </c>
    </row>
    <row r="1468" spans="1:7" x14ac:dyDescent="0.2">
      <c r="A1468" s="40">
        <v>6230</v>
      </c>
      <c r="B1468" s="39" t="s">
        <v>914</v>
      </c>
      <c r="C1468" s="40" t="s">
        <v>871</v>
      </c>
      <c r="D1468" s="75" t="s">
        <v>1269</v>
      </c>
      <c r="E1468" s="75" t="s">
        <v>1266</v>
      </c>
      <c r="F1468" s="75" t="s">
        <v>1268</v>
      </c>
      <c r="G1468" s="75" t="s">
        <v>1268</v>
      </c>
    </row>
    <row r="1469" spans="1:7" x14ac:dyDescent="0.2">
      <c r="A1469" s="40">
        <v>6232</v>
      </c>
      <c r="B1469" s="39" t="s">
        <v>915</v>
      </c>
      <c r="C1469" s="40" t="s">
        <v>871</v>
      </c>
      <c r="D1469" s="75" t="s">
        <v>1269</v>
      </c>
      <c r="E1469" s="75" t="s">
        <v>1266</v>
      </c>
      <c r="F1469" s="75" t="s">
        <v>1268</v>
      </c>
      <c r="G1469" s="75" t="s">
        <v>1268</v>
      </c>
    </row>
    <row r="1470" spans="1:7" x14ac:dyDescent="0.2">
      <c r="A1470" s="40">
        <v>6233</v>
      </c>
      <c r="B1470" s="39" t="s">
        <v>916</v>
      </c>
      <c r="C1470" s="40" t="s">
        <v>871</v>
      </c>
      <c r="D1470" s="75" t="s">
        <v>1269</v>
      </c>
      <c r="E1470" s="75" t="s">
        <v>1266</v>
      </c>
      <c r="F1470" s="75" t="s">
        <v>1268</v>
      </c>
      <c r="G1470" s="75" t="s">
        <v>1268</v>
      </c>
    </row>
    <row r="1471" spans="1:7" x14ac:dyDescent="0.2">
      <c r="A1471" s="40">
        <v>6234</v>
      </c>
      <c r="B1471" s="39" t="s">
        <v>917</v>
      </c>
      <c r="C1471" s="40" t="s">
        <v>871</v>
      </c>
      <c r="D1471" s="75" t="s">
        <v>1269</v>
      </c>
      <c r="E1471" s="75" t="s">
        <v>1266</v>
      </c>
      <c r="F1471" s="75" t="s">
        <v>1268</v>
      </c>
      <c r="G1471" s="75" t="s">
        <v>1267</v>
      </c>
    </row>
    <row r="1472" spans="1:7" x14ac:dyDescent="0.2">
      <c r="A1472" s="40">
        <v>6235</v>
      </c>
      <c r="B1472" s="39" t="s">
        <v>918</v>
      </c>
      <c r="C1472" s="40" t="s">
        <v>871</v>
      </c>
      <c r="D1472" s="75" t="s">
        <v>1269</v>
      </c>
      <c r="E1472" s="75" t="s">
        <v>1266</v>
      </c>
      <c r="F1472" s="75" t="s">
        <v>1268</v>
      </c>
      <c r="G1472" s="75" t="s">
        <v>1267</v>
      </c>
    </row>
    <row r="1473" spans="1:7" x14ac:dyDescent="0.2">
      <c r="A1473" s="40">
        <v>6236</v>
      </c>
      <c r="B1473" s="39" t="s">
        <v>919</v>
      </c>
      <c r="C1473" s="40" t="s">
        <v>871</v>
      </c>
      <c r="D1473" s="75" t="s">
        <v>1269</v>
      </c>
      <c r="E1473" s="75" t="s">
        <v>1266</v>
      </c>
      <c r="F1473" s="75" t="s">
        <v>1268</v>
      </c>
      <c r="G1473" s="75" t="s">
        <v>1268</v>
      </c>
    </row>
    <row r="1474" spans="1:7" x14ac:dyDescent="0.2">
      <c r="A1474" s="40">
        <v>6240</v>
      </c>
      <c r="B1474" s="39" t="s">
        <v>920</v>
      </c>
      <c r="C1474" s="40" t="s">
        <v>871</v>
      </c>
      <c r="D1474" s="75" t="s">
        <v>1269</v>
      </c>
      <c r="E1474" s="75" t="s">
        <v>1266</v>
      </c>
      <c r="F1474" s="75" t="s">
        <v>1268</v>
      </c>
      <c r="G1474" s="75" t="s">
        <v>1268</v>
      </c>
    </row>
    <row r="1475" spans="1:7" x14ac:dyDescent="0.2">
      <c r="A1475" s="40">
        <v>6250</v>
      </c>
      <c r="B1475" s="39" t="s">
        <v>921</v>
      </c>
      <c r="C1475" s="40" t="s">
        <v>871</v>
      </c>
      <c r="D1475" s="75" t="s">
        <v>1269</v>
      </c>
      <c r="E1475" s="75" t="s">
        <v>1266</v>
      </c>
      <c r="F1475" s="75" t="s">
        <v>1268</v>
      </c>
      <c r="G1475" s="75" t="s">
        <v>1268</v>
      </c>
    </row>
    <row r="1476" spans="1:7" x14ac:dyDescent="0.2">
      <c r="A1476" s="40">
        <v>6252</v>
      </c>
      <c r="B1476" s="39" t="s">
        <v>922</v>
      </c>
      <c r="C1476" s="40" t="s">
        <v>871</v>
      </c>
      <c r="D1476" s="75" t="s">
        <v>1269</v>
      </c>
      <c r="E1476" s="75" t="s">
        <v>1266</v>
      </c>
      <c r="F1476" s="75" t="s">
        <v>1268</v>
      </c>
      <c r="G1476" s="75" t="s">
        <v>1267</v>
      </c>
    </row>
    <row r="1477" spans="1:7" x14ac:dyDescent="0.2">
      <c r="A1477" s="40">
        <v>6260</v>
      </c>
      <c r="B1477" s="39" t="s">
        <v>923</v>
      </c>
      <c r="C1477" s="40" t="s">
        <v>871</v>
      </c>
      <c r="D1477" s="75" t="s">
        <v>1269</v>
      </c>
      <c r="E1477" s="75" t="s">
        <v>1266</v>
      </c>
      <c r="F1477" s="75" t="s">
        <v>1268</v>
      </c>
      <c r="G1477" s="75" t="s">
        <v>1267</v>
      </c>
    </row>
    <row r="1478" spans="1:7" x14ac:dyDescent="0.2">
      <c r="A1478" s="40">
        <v>6261</v>
      </c>
      <c r="B1478" s="39" t="s">
        <v>924</v>
      </c>
      <c r="C1478" s="40" t="s">
        <v>871</v>
      </c>
      <c r="D1478" s="75" t="s">
        <v>1269</v>
      </c>
      <c r="E1478" s="75" t="s">
        <v>1266</v>
      </c>
      <c r="F1478" s="75" t="s">
        <v>1268</v>
      </c>
      <c r="G1478" s="75" t="s">
        <v>1267</v>
      </c>
    </row>
    <row r="1479" spans="1:7" x14ac:dyDescent="0.2">
      <c r="A1479" s="40">
        <v>6262</v>
      </c>
      <c r="B1479" s="39" t="s">
        <v>925</v>
      </c>
      <c r="C1479" s="40" t="s">
        <v>871</v>
      </c>
      <c r="D1479" s="75" t="s">
        <v>1269</v>
      </c>
      <c r="E1479" s="75" t="s">
        <v>1266</v>
      </c>
      <c r="F1479" s="75" t="s">
        <v>1268</v>
      </c>
      <c r="G1479" s="75" t="s">
        <v>1268</v>
      </c>
    </row>
    <row r="1480" spans="1:7" x14ac:dyDescent="0.2">
      <c r="A1480" s="40">
        <v>6263</v>
      </c>
      <c r="B1480" s="39" t="s">
        <v>926</v>
      </c>
      <c r="C1480" s="40" t="s">
        <v>871</v>
      </c>
      <c r="D1480" s="75" t="s">
        <v>1269</v>
      </c>
      <c r="E1480" s="75" t="s">
        <v>1266</v>
      </c>
      <c r="F1480" s="75" t="s">
        <v>1268</v>
      </c>
      <c r="G1480" s="75" t="s">
        <v>1268</v>
      </c>
    </row>
    <row r="1481" spans="1:7" x14ac:dyDescent="0.2">
      <c r="A1481" s="40">
        <v>6265</v>
      </c>
      <c r="B1481" s="39" t="s">
        <v>927</v>
      </c>
      <c r="C1481" s="40" t="s">
        <v>871</v>
      </c>
      <c r="D1481" s="75" t="s">
        <v>1269</v>
      </c>
      <c r="E1481" s="75" t="s">
        <v>1266</v>
      </c>
      <c r="F1481" s="75" t="s">
        <v>1268</v>
      </c>
      <c r="G1481" s="75" t="s">
        <v>1267</v>
      </c>
    </row>
    <row r="1482" spans="1:7" x14ac:dyDescent="0.2">
      <c r="A1482" s="40">
        <v>6271</v>
      </c>
      <c r="B1482" s="39" t="s">
        <v>928</v>
      </c>
      <c r="C1482" s="40" t="s">
        <v>871</v>
      </c>
      <c r="D1482" s="75" t="s">
        <v>1269</v>
      </c>
      <c r="E1482" s="75" t="s">
        <v>1266</v>
      </c>
      <c r="F1482" s="75" t="s">
        <v>1268</v>
      </c>
      <c r="G1482" s="75" t="s">
        <v>1268</v>
      </c>
    </row>
    <row r="1483" spans="1:7" x14ac:dyDescent="0.2">
      <c r="A1483" s="40">
        <v>6272</v>
      </c>
      <c r="B1483" s="39" t="s">
        <v>935</v>
      </c>
      <c r="C1483" s="40" t="s">
        <v>871</v>
      </c>
      <c r="D1483" s="75" t="s">
        <v>1269</v>
      </c>
      <c r="E1483" s="75" t="s">
        <v>1266</v>
      </c>
      <c r="F1483" s="75" t="s">
        <v>1268</v>
      </c>
      <c r="G1483" s="75" t="s">
        <v>1268</v>
      </c>
    </row>
    <row r="1484" spans="1:7" x14ac:dyDescent="0.2">
      <c r="A1484" s="40">
        <v>6274</v>
      </c>
      <c r="B1484" s="39" t="s">
        <v>936</v>
      </c>
      <c r="C1484" s="40" t="s">
        <v>871</v>
      </c>
      <c r="D1484" s="75" t="s">
        <v>1269</v>
      </c>
      <c r="E1484" s="75" t="s">
        <v>1266</v>
      </c>
      <c r="F1484" s="75" t="s">
        <v>1268</v>
      </c>
      <c r="G1484" s="75" t="s">
        <v>1268</v>
      </c>
    </row>
    <row r="1485" spans="1:7" x14ac:dyDescent="0.2">
      <c r="A1485" s="40">
        <v>6275</v>
      </c>
      <c r="B1485" s="39" t="s">
        <v>937</v>
      </c>
      <c r="C1485" s="40" t="s">
        <v>871</v>
      </c>
      <c r="D1485" s="75" t="s">
        <v>1269</v>
      </c>
      <c r="E1485" s="75" t="s">
        <v>1266</v>
      </c>
      <c r="F1485" s="75" t="s">
        <v>1268</v>
      </c>
      <c r="G1485" s="75" t="s">
        <v>1267</v>
      </c>
    </row>
    <row r="1486" spans="1:7" x14ac:dyDescent="0.2">
      <c r="A1486" s="40">
        <v>6276</v>
      </c>
      <c r="B1486" s="39" t="s">
        <v>938</v>
      </c>
      <c r="C1486" s="40" t="s">
        <v>871</v>
      </c>
      <c r="D1486" s="75" t="s">
        <v>1269</v>
      </c>
      <c r="E1486" s="75" t="s">
        <v>1266</v>
      </c>
      <c r="F1486" s="75" t="s">
        <v>1268</v>
      </c>
      <c r="G1486" s="75" t="s">
        <v>1267</v>
      </c>
    </row>
    <row r="1487" spans="1:7" x14ac:dyDescent="0.2">
      <c r="A1487" s="40">
        <v>6280</v>
      </c>
      <c r="B1487" s="39" t="s">
        <v>939</v>
      </c>
      <c r="C1487" s="40" t="s">
        <v>871</v>
      </c>
      <c r="D1487" s="75" t="s">
        <v>1269</v>
      </c>
      <c r="E1487" s="75" t="s">
        <v>1266</v>
      </c>
      <c r="F1487" s="75" t="s">
        <v>1268</v>
      </c>
      <c r="G1487" s="75" t="s">
        <v>1268</v>
      </c>
    </row>
    <row r="1488" spans="1:7" x14ac:dyDescent="0.2">
      <c r="A1488" s="40">
        <v>6281</v>
      </c>
      <c r="B1488" s="39" t="s">
        <v>940</v>
      </c>
      <c r="C1488" s="40" t="s">
        <v>871</v>
      </c>
      <c r="D1488" s="75" t="s">
        <v>1269</v>
      </c>
      <c r="E1488" s="75" t="s">
        <v>1266</v>
      </c>
      <c r="F1488" s="75" t="s">
        <v>1268</v>
      </c>
      <c r="G1488" s="75" t="s">
        <v>1268</v>
      </c>
    </row>
    <row r="1489" spans="1:7" x14ac:dyDescent="0.2">
      <c r="A1489" s="40">
        <v>6283</v>
      </c>
      <c r="B1489" s="39" t="s">
        <v>941</v>
      </c>
      <c r="C1489" s="40" t="s">
        <v>871</v>
      </c>
      <c r="D1489" s="75" t="s">
        <v>1269</v>
      </c>
      <c r="E1489" s="75" t="s">
        <v>1266</v>
      </c>
      <c r="F1489" s="75" t="s">
        <v>1268</v>
      </c>
      <c r="G1489" s="75" t="s">
        <v>1268</v>
      </c>
    </row>
    <row r="1490" spans="1:7" x14ac:dyDescent="0.2">
      <c r="A1490" s="40">
        <v>6284</v>
      </c>
      <c r="B1490" s="39" t="s">
        <v>942</v>
      </c>
      <c r="C1490" s="40" t="s">
        <v>871</v>
      </c>
      <c r="D1490" s="75" t="s">
        <v>1269</v>
      </c>
      <c r="E1490" s="75" t="s">
        <v>1266</v>
      </c>
      <c r="F1490" s="75" t="s">
        <v>1268</v>
      </c>
      <c r="G1490" s="75" t="s">
        <v>1267</v>
      </c>
    </row>
    <row r="1491" spans="1:7" x14ac:dyDescent="0.2">
      <c r="A1491" s="40">
        <v>6290</v>
      </c>
      <c r="B1491" s="39" t="s">
        <v>943</v>
      </c>
      <c r="C1491" s="40" t="s">
        <v>871</v>
      </c>
      <c r="D1491" s="75" t="s">
        <v>1269</v>
      </c>
      <c r="E1491" s="75" t="s">
        <v>1266</v>
      </c>
      <c r="F1491" s="75" t="s">
        <v>1268</v>
      </c>
      <c r="G1491" s="75" t="s">
        <v>1268</v>
      </c>
    </row>
    <row r="1492" spans="1:7" x14ac:dyDescent="0.2">
      <c r="A1492" s="40">
        <v>6292</v>
      </c>
      <c r="B1492" s="39" t="s">
        <v>944</v>
      </c>
      <c r="C1492" s="40" t="s">
        <v>871</v>
      </c>
      <c r="D1492" s="75" t="s">
        <v>1269</v>
      </c>
      <c r="E1492" s="75" t="s">
        <v>1266</v>
      </c>
      <c r="F1492" s="75" t="s">
        <v>1268</v>
      </c>
      <c r="G1492" s="75" t="s">
        <v>1267</v>
      </c>
    </row>
    <row r="1493" spans="1:7" x14ac:dyDescent="0.2">
      <c r="A1493" s="40">
        <v>6293</v>
      </c>
      <c r="B1493" s="39" t="s">
        <v>945</v>
      </c>
      <c r="C1493" s="40" t="s">
        <v>871</v>
      </c>
      <c r="D1493" s="75" t="s">
        <v>1269</v>
      </c>
      <c r="E1493" s="75" t="s">
        <v>1266</v>
      </c>
      <c r="F1493" s="75" t="s">
        <v>1268</v>
      </c>
      <c r="G1493" s="75" t="s">
        <v>1268</v>
      </c>
    </row>
    <row r="1494" spans="1:7" x14ac:dyDescent="0.2">
      <c r="A1494" s="40">
        <v>6294</v>
      </c>
      <c r="B1494" s="39" t="s">
        <v>946</v>
      </c>
      <c r="C1494" s="40" t="s">
        <v>871</v>
      </c>
      <c r="D1494" s="75" t="s">
        <v>1269</v>
      </c>
      <c r="E1494" s="75" t="s">
        <v>1266</v>
      </c>
      <c r="F1494" s="75" t="s">
        <v>1268</v>
      </c>
      <c r="G1494" s="75" t="s">
        <v>1267</v>
      </c>
    </row>
    <row r="1495" spans="1:7" x14ac:dyDescent="0.2">
      <c r="A1495" s="40">
        <v>6295</v>
      </c>
      <c r="B1495" s="39" t="s">
        <v>947</v>
      </c>
      <c r="C1495" s="40" t="s">
        <v>871</v>
      </c>
      <c r="D1495" s="75" t="s">
        <v>1269</v>
      </c>
      <c r="E1495" s="75" t="s">
        <v>1266</v>
      </c>
      <c r="F1495" s="75" t="s">
        <v>1268</v>
      </c>
      <c r="G1495" s="75" t="s">
        <v>1267</v>
      </c>
    </row>
    <row r="1496" spans="1:7" x14ac:dyDescent="0.2">
      <c r="A1496" s="40">
        <v>6300</v>
      </c>
      <c r="B1496" s="39" t="s">
        <v>948</v>
      </c>
      <c r="C1496" s="40" t="s">
        <v>871</v>
      </c>
      <c r="D1496" s="75" t="s">
        <v>1269</v>
      </c>
      <c r="E1496" s="75" t="s">
        <v>1266</v>
      </c>
      <c r="F1496" s="75" t="s">
        <v>1268</v>
      </c>
      <c r="G1496" s="75" t="s">
        <v>1268</v>
      </c>
    </row>
    <row r="1497" spans="1:7" x14ac:dyDescent="0.2">
      <c r="A1497" s="40">
        <v>6302</v>
      </c>
      <c r="B1497" s="39" t="s">
        <v>948</v>
      </c>
      <c r="C1497" s="40" t="s">
        <v>871</v>
      </c>
      <c r="D1497" s="75" t="s">
        <v>1271</v>
      </c>
      <c r="E1497" s="75" t="s">
        <v>1266</v>
      </c>
      <c r="F1497" s="75" t="s">
        <v>1267</v>
      </c>
      <c r="G1497" s="75" t="s">
        <v>1268</v>
      </c>
    </row>
    <row r="1498" spans="1:7" x14ac:dyDescent="0.2">
      <c r="A1498" s="40">
        <v>6305</v>
      </c>
      <c r="B1498" s="39" t="s">
        <v>949</v>
      </c>
      <c r="C1498" s="40" t="s">
        <v>871</v>
      </c>
      <c r="D1498" s="75" t="s">
        <v>1269</v>
      </c>
      <c r="E1498" s="75" t="s">
        <v>1266</v>
      </c>
      <c r="F1498" s="75" t="s">
        <v>1268</v>
      </c>
      <c r="G1498" s="75" t="s">
        <v>1267</v>
      </c>
    </row>
    <row r="1499" spans="1:7" x14ac:dyDescent="0.2">
      <c r="A1499" s="40">
        <v>6306</v>
      </c>
      <c r="B1499" s="39" t="s">
        <v>950</v>
      </c>
      <c r="C1499" s="40" t="s">
        <v>871</v>
      </c>
      <c r="D1499" s="75" t="s">
        <v>1269</v>
      </c>
      <c r="E1499" s="75" t="s">
        <v>1266</v>
      </c>
      <c r="F1499" s="75" t="s">
        <v>1268</v>
      </c>
      <c r="G1499" s="75" t="s">
        <v>1268</v>
      </c>
    </row>
    <row r="1500" spans="1:7" x14ac:dyDescent="0.2">
      <c r="A1500" s="40">
        <v>6311</v>
      </c>
      <c r="B1500" s="39" t="s">
        <v>951</v>
      </c>
      <c r="C1500" s="40" t="s">
        <v>871</v>
      </c>
      <c r="D1500" s="75" t="s">
        <v>1269</v>
      </c>
      <c r="E1500" s="75" t="s">
        <v>1266</v>
      </c>
      <c r="F1500" s="75" t="s">
        <v>1268</v>
      </c>
      <c r="G1500" s="75" t="s">
        <v>1268</v>
      </c>
    </row>
    <row r="1501" spans="1:7" x14ac:dyDescent="0.2">
      <c r="A1501" s="40">
        <v>6313</v>
      </c>
      <c r="B1501" s="39" t="s">
        <v>952</v>
      </c>
      <c r="C1501" s="40" t="s">
        <v>871</v>
      </c>
      <c r="D1501" s="75" t="s">
        <v>1269</v>
      </c>
      <c r="E1501" s="75" t="s">
        <v>1266</v>
      </c>
      <c r="F1501" s="75" t="s">
        <v>1268</v>
      </c>
      <c r="G1501" s="75" t="s">
        <v>1267</v>
      </c>
    </row>
    <row r="1502" spans="1:7" x14ac:dyDescent="0.2">
      <c r="A1502" s="40">
        <v>6314</v>
      </c>
      <c r="B1502" s="39" t="s">
        <v>953</v>
      </c>
      <c r="C1502" s="40" t="s">
        <v>871</v>
      </c>
      <c r="D1502" s="75" t="s">
        <v>1269</v>
      </c>
      <c r="E1502" s="75" t="s">
        <v>1266</v>
      </c>
      <c r="F1502" s="75" t="s">
        <v>1268</v>
      </c>
      <c r="G1502" s="75" t="s">
        <v>1267</v>
      </c>
    </row>
    <row r="1503" spans="1:7" x14ac:dyDescent="0.2">
      <c r="A1503" s="40">
        <v>6320</v>
      </c>
      <c r="B1503" s="39" t="s">
        <v>954</v>
      </c>
      <c r="C1503" s="40" t="s">
        <v>871</v>
      </c>
      <c r="D1503" s="75" t="s">
        <v>1269</v>
      </c>
      <c r="E1503" s="75" t="s">
        <v>1266</v>
      </c>
      <c r="F1503" s="75" t="s">
        <v>1268</v>
      </c>
      <c r="G1503" s="75" t="s">
        <v>1267</v>
      </c>
    </row>
    <row r="1504" spans="1:7" x14ac:dyDescent="0.2">
      <c r="A1504" s="40">
        <v>6322</v>
      </c>
      <c r="B1504" s="39" t="s">
        <v>955</v>
      </c>
      <c r="C1504" s="40" t="s">
        <v>871</v>
      </c>
      <c r="D1504" s="75" t="s">
        <v>1269</v>
      </c>
      <c r="E1504" s="75" t="s">
        <v>1266</v>
      </c>
      <c r="F1504" s="75" t="s">
        <v>1268</v>
      </c>
      <c r="G1504" s="75" t="s">
        <v>1268</v>
      </c>
    </row>
    <row r="1505" spans="1:7" x14ac:dyDescent="0.2">
      <c r="A1505" s="40">
        <v>6323</v>
      </c>
      <c r="B1505" s="39" t="s">
        <v>956</v>
      </c>
      <c r="C1505" s="40" t="s">
        <v>871</v>
      </c>
      <c r="D1505" s="75" t="s">
        <v>1269</v>
      </c>
      <c r="E1505" s="75" t="s">
        <v>1266</v>
      </c>
      <c r="F1505" s="75" t="s">
        <v>1268</v>
      </c>
      <c r="G1505" s="75" t="s">
        <v>1268</v>
      </c>
    </row>
    <row r="1506" spans="1:7" x14ac:dyDescent="0.2">
      <c r="A1506" s="40">
        <v>6324</v>
      </c>
      <c r="B1506" s="39" t="s">
        <v>957</v>
      </c>
      <c r="C1506" s="40" t="s">
        <v>871</v>
      </c>
      <c r="D1506" s="75" t="s">
        <v>1269</v>
      </c>
      <c r="E1506" s="75" t="s">
        <v>1266</v>
      </c>
      <c r="F1506" s="75" t="s">
        <v>1268</v>
      </c>
      <c r="G1506" s="75" t="s">
        <v>1267</v>
      </c>
    </row>
    <row r="1507" spans="1:7" x14ac:dyDescent="0.2">
      <c r="A1507" s="40">
        <v>6330</v>
      </c>
      <c r="B1507" s="39" t="s">
        <v>958</v>
      </c>
      <c r="C1507" s="40" t="s">
        <v>871</v>
      </c>
      <c r="D1507" s="75" t="s">
        <v>1269</v>
      </c>
      <c r="E1507" s="75" t="s">
        <v>1266</v>
      </c>
      <c r="F1507" s="75" t="s">
        <v>1268</v>
      </c>
      <c r="G1507" s="75" t="s">
        <v>1268</v>
      </c>
    </row>
    <row r="1508" spans="1:7" x14ac:dyDescent="0.2">
      <c r="A1508" s="40">
        <v>6332</v>
      </c>
      <c r="B1508" s="39" t="s">
        <v>958</v>
      </c>
      <c r="C1508" s="40" t="s">
        <v>871</v>
      </c>
      <c r="D1508" s="75" t="s">
        <v>1271</v>
      </c>
      <c r="E1508" s="75" t="s">
        <v>1266</v>
      </c>
      <c r="F1508" s="75" t="s">
        <v>1267</v>
      </c>
      <c r="G1508" s="75" t="s">
        <v>1268</v>
      </c>
    </row>
    <row r="1509" spans="1:7" x14ac:dyDescent="0.2">
      <c r="A1509" s="40">
        <v>6333</v>
      </c>
      <c r="B1509" s="39" t="s">
        <v>958</v>
      </c>
      <c r="C1509" s="40" t="s">
        <v>871</v>
      </c>
      <c r="D1509" s="75" t="s">
        <v>1271</v>
      </c>
      <c r="E1509" s="75" t="s">
        <v>1266</v>
      </c>
      <c r="F1509" s="75" t="s">
        <v>1267</v>
      </c>
      <c r="G1509" s="75" t="s">
        <v>1268</v>
      </c>
    </row>
    <row r="1510" spans="1:7" x14ac:dyDescent="0.2">
      <c r="A1510" s="40">
        <v>6334</v>
      </c>
      <c r="B1510" s="39" t="s">
        <v>959</v>
      </c>
      <c r="C1510" s="40" t="s">
        <v>871</v>
      </c>
      <c r="D1510" s="75" t="s">
        <v>1269</v>
      </c>
      <c r="E1510" s="75" t="s">
        <v>1266</v>
      </c>
      <c r="F1510" s="75" t="s">
        <v>1268</v>
      </c>
      <c r="G1510" s="75" t="s">
        <v>1267</v>
      </c>
    </row>
    <row r="1511" spans="1:7" x14ac:dyDescent="0.2">
      <c r="A1511" s="40">
        <v>6335</v>
      </c>
      <c r="B1511" s="39" t="s">
        <v>960</v>
      </c>
      <c r="C1511" s="40" t="s">
        <v>871</v>
      </c>
      <c r="D1511" s="75" t="s">
        <v>1269</v>
      </c>
      <c r="E1511" s="75" t="s">
        <v>1266</v>
      </c>
      <c r="F1511" s="75" t="s">
        <v>1268</v>
      </c>
      <c r="G1511" s="75" t="s">
        <v>1268</v>
      </c>
    </row>
    <row r="1512" spans="1:7" x14ac:dyDescent="0.2">
      <c r="A1512" s="40">
        <v>6336</v>
      </c>
      <c r="B1512" s="39" t="s">
        <v>961</v>
      </c>
      <c r="C1512" s="40" t="s">
        <v>871</v>
      </c>
      <c r="D1512" s="75" t="s">
        <v>1269</v>
      </c>
      <c r="E1512" s="75" t="s">
        <v>1266</v>
      </c>
      <c r="F1512" s="75" t="s">
        <v>1268</v>
      </c>
      <c r="G1512" s="75" t="s">
        <v>1267</v>
      </c>
    </row>
    <row r="1513" spans="1:7" x14ac:dyDescent="0.2">
      <c r="A1513" s="40">
        <v>6341</v>
      </c>
      <c r="B1513" s="39" t="s">
        <v>962</v>
      </c>
      <c r="C1513" s="40" t="s">
        <v>871</v>
      </c>
      <c r="D1513" s="75" t="s">
        <v>1269</v>
      </c>
      <c r="E1513" s="75" t="s">
        <v>1266</v>
      </c>
      <c r="F1513" s="75" t="s">
        <v>1268</v>
      </c>
      <c r="G1513" s="75" t="s">
        <v>1268</v>
      </c>
    </row>
    <row r="1514" spans="1:7" x14ac:dyDescent="0.2">
      <c r="A1514" s="40">
        <v>6342</v>
      </c>
      <c r="B1514" s="39" t="s">
        <v>963</v>
      </c>
      <c r="C1514" s="40" t="s">
        <v>871</v>
      </c>
      <c r="D1514" s="75" t="s">
        <v>1269</v>
      </c>
      <c r="E1514" s="75" t="s">
        <v>1266</v>
      </c>
      <c r="F1514" s="75" t="s">
        <v>1268</v>
      </c>
      <c r="G1514" s="75" t="s">
        <v>1268</v>
      </c>
    </row>
    <row r="1515" spans="1:7" x14ac:dyDescent="0.2">
      <c r="A1515" s="40">
        <v>6343</v>
      </c>
      <c r="B1515" s="39" t="s">
        <v>964</v>
      </c>
      <c r="C1515" s="40" t="s">
        <v>871</v>
      </c>
      <c r="D1515" s="75" t="s">
        <v>1269</v>
      </c>
      <c r="E1515" s="75" t="s">
        <v>1266</v>
      </c>
      <c r="F1515" s="75" t="s">
        <v>1268</v>
      </c>
      <c r="G1515" s="75" t="s">
        <v>1267</v>
      </c>
    </row>
    <row r="1516" spans="1:7" x14ac:dyDescent="0.2">
      <c r="A1516" s="40">
        <v>6344</v>
      </c>
      <c r="B1516" s="39" t="s">
        <v>965</v>
      </c>
      <c r="C1516" s="40" t="s">
        <v>871</v>
      </c>
      <c r="D1516" s="75" t="s">
        <v>1269</v>
      </c>
      <c r="E1516" s="75" t="s">
        <v>1266</v>
      </c>
      <c r="F1516" s="75" t="s">
        <v>1268</v>
      </c>
      <c r="G1516" s="75" t="s">
        <v>1268</v>
      </c>
    </row>
    <row r="1517" spans="1:7" x14ac:dyDescent="0.2">
      <c r="A1517" s="40">
        <v>6345</v>
      </c>
      <c r="B1517" s="39" t="s">
        <v>966</v>
      </c>
      <c r="C1517" s="40" t="s">
        <v>871</v>
      </c>
      <c r="D1517" s="75" t="s">
        <v>1269</v>
      </c>
      <c r="E1517" s="75" t="s">
        <v>1266</v>
      </c>
      <c r="F1517" s="75" t="s">
        <v>1268</v>
      </c>
      <c r="G1517" s="75" t="s">
        <v>1268</v>
      </c>
    </row>
    <row r="1518" spans="1:7" x14ac:dyDescent="0.2">
      <c r="A1518" s="40">
        <v>6351</v>
      </c>
      <c r="B1518" s="39" t="s">
        <v>967</v>
      </c>
      <c r="C1518" s="40" t="s">
        <v>871</v>
      </c>
      <c r="D1518" s="75" t="s">
        <v>1269</v>
      </c>
      <c r="E1518" s="75" t="s">
        <v>1266</v>
      </c>
      <c r="F1518" s="75" t="s">
        <v>1268</v>
      </c>
      <c r="G1518" s="75" t="s">
        <v>1268</v>
      </c>
    </row>
    <row r="1519" spans="1:7" x14ac:dyDescent="0.2">
      <c r="A1519" s="40">
        <v>6352</v>
      </c>
      <c r="B1519" s="39" t="s">
        <v>968</v>
      </c>
      <c r="C1519" s="40" t="s">
        <v>871</v>
      </c>
      <c r="D1519" s="75" t="s">
        <v>1269</v>
      </c>
      <c r="E1519" s="75" t="s">
        <v>1266</v>
      </c>
      <c r="F1519" s="75" t="s">
        <v>1268</v>
      </c>
      <c r="G1519" s="75" t="s">
        <v>1268</v>
      </c>
    </row>
    <row r="1520" spans="1:7" x14ac:dyDescent="0.2">
      <c r="A1520" s="40">
        <v>6353</v>
      </c>
      <c r="B1520" s="39" t="s">
        <v>969</v>
      </c>
      <c r="C1520" s="40" t="s">
        <v>871</v>
      </c>
      <c r="D1520" s="75" t="s">
        <v>1269</v>
      </c>
      <c r="E1520" s="75" t="s">
        <v>1266</v>
      </c>
      <c r="F1520" s="75" t="s">
        <v>1268</v>
      </c>
      <c r="G1520" s="75" t="s">
        <v>1268</v>
      </c>
    </row>
    <row r="1521" spans="1:7" x14ac:dyDescent="0.2">
      <c r="A1521" s="40">
        <v>6361</v>
      </c>
      <c r="B1521" s="39" t="s">
        <v>970</v>
      </c>
      <c r="C1521" s="40" t="s">
        <v>871</v>
      </c>
      <c r="D1521" s="75" t="s">
        <v>1269</v>
      </c>
      <c r="E1521" s="75" t="s">
        <v>1266</v>
      </c>
      <c r="F1521" s="75" t="s">
        <v>1268</v>
      </c>
      <c r="G1521" s="75" t="s">
        <v>1268</v>
      </c>
    </row>
    <row r="1522" spans="1:7" x14ac:dyDescent="0.2">
      <c r="A1522" s="40">
        <v>6363</v>
      </c>
      <c r="B1522" s="39" t="s">
        <v>971</v>
      </c>
      <c r="C1522" s="40" t="s">
        <v>871</v>
      </c>
      <c r="D1522" s="75" t="s">
        <v>1269</v>
      </c>
      <c r="E1522" s="75" t="s">
        <v>1266</v>
      </c>
      <c r="F1522" s="75" t="s">
        <v>1268</v>
      </c>
      <c r="G1522" s="75" t="s">
        <v>1268</v>
      </c>
    </row>
    <row r="1523" spans="1:7" x14ac:dyDescent="0.2">
      <c r="A1523" s="40">
        <v>6364</v>
      </c>
      <c r="B1523" s="39" t="s">
        <v>972</v>
      </c>
      <c r="C1523" s="40" t="s">
        <v>871</v>
      </c>
      <c r="D1523" s="75" t="s">
        <v>1269</v>
      </c>
      <c r="E1523" s="75" t="s">
        <v>1266</v>
      </c>
      <c r="F1523" s="75" t="s">
        <v>1268</v>
      </c>
      <c r="G1523" s="75" t="s">
        <v>1268</v>
      </c>
    </row>
    <row r="1524" spans="1:7" x14ac:dyDescent="0.2">
      <c r="A1524" s="40">
        <v>6365</v>
      </c>
      <c r="B1524" s="39" t="s">
        <v>973</v>
      </c>
      <c r="C1524" s="40" t="s">
        <v>871</v>
      </c>
      <c r="D1524" s="75" t="s">
        <v>1269</v>
      </c>
      <c r="E1524" s="75" t="s">
        <v>1266</v>
      </c>
      <c r="F1524" s="75" t="s">
        <v>1268</v>
      </c>
      <c r="G1524" s="75" t="s">
        <v>1268</v>
      </c>
    </row>
    <row r="1525" spans="1:7" x14ac:dyDescent="0.2">
      <c r="A1525" s="40">
        <v>6370</v>
      </c>
      <c r="B1525" s="39" t="s">
        <v>974</v>
      </c>
      <c r="C1525" s="40" t="s">
        <v>871</v>
      </c>
      <c r="D1525" s="75" t="s">
        <v>1269</v>
      </c>
      <c r="E1525" s="75" t="s">
        <v>1266</v>
      </c>
      <c r="F1525" s="75" t="s">
        <v>1268</v>
      </c>
      <c r="G1525" s="75" t="s">
        <v>1268</v>
      </c>
    </row>
    <row r="1526" spans="1:7" x14ac:dyDescent="0.2">
      <c r="A1526" s="40">
        <v>6372</v>
      </c>
      <c r="B1526" s="39" t="s">
        <v>975</v>
      </c>
      <c r="C1526" s="40" t="s">
        <v>871</v>
      </c>
      <c r="D1526" s="75" t="s">
        <v>1269</v>
      </c>
      <c r="E1526" s="75" t="s">
        <v>1266</v>
      </c>
      <c r="F1526" s="75" t="s">
        <v>1268</v>
      </c>
      <c r="G1526" s="75" t="s">
        <v>1268</v>
      </c>
    </row>
    <row r="1527" spans="1:7" x14ac:dyDescent="0.2">
      <c r="A1527" s="40">
        <v>6373</v>
      </c>
      <c r="B1527" s="39" t="s">
        <v>976</v>
      </c>
      <c r="C1527" s="40" t="s">
        <v>871</v>
      </c>
      <c r="D1527" s="75" t="s">
        <v>1269</v>
      </c>
      <c r="E1527" s="75" t="s">
        <v>1266</v>
      </c>
      <c r="F1527" s="75" t="s">
        <v>1268</v>
      </c>
      <c r="G1527" s="75" t="s">
        <v>1267</v>
      </c>
    </row>
    <row r="1528" spans="1:7" x14ac:dyDescent="0.2">
      <c r="A1528" s="40">
        <v>6380</v>
      </c>
      <c r="B1528" s="39" t="s">
        <v>977</v>
      </c>
      <c r="C1528" s="40" t="s">
        <v>871</v>
      </c>
      <c r="D1528" s="75" t="s">
        <v>1269</v>
      </c>
      <c r="E1528" s="75" t="s">
        <v>1266</v>
      </c>
      <c r="F1528" s="75" t="s">
        <v>1268</v>
      </c>
      <c r="G1528" s="75" t="s">
        <v>1268</v>
      </c>
    </row>
    <row r="1529" spans="1:7" x14ac:dyDescent="0.2">
      <c r="A1529" s="40">
        <v>6382</v>
      </c>
      <c r="B1529" s="39" t="s">
        <v>978</v>
      </c>
      <c r="C1529" s="40" t="s">
        <v>871</v>
      </c>
      <c r="D1529" s="75" t="s">
        <v>1269</v>
      </c>
      <c r="E1529" s="75" t="s">
        <v>1266</v>
      </c>
      <c r="F1529" s="75" t="s">
        <v>1268</v>
      </c>
      <c r="G1529" s="75" t="s">
        <v>1267</v>
      </c>
    </row>
    <row r="1530" spans="1:7" x14ac:dyDescent="0.2">
      <c r="A1530" s="40">
        <v>6383</v>
      </c>
      <c r="B1530" s="39" t="s">
        <v>979</v>
      </c>
      <c r="C1530" s="40" t="s">
        <v>871</v>
      </c>
      <c r="D1530" s="75" t="s">
        <v>1269</v>
      </c>
      <c r="E1530" s="75" t="s">
        <v>1266</v>
      </c>
      <c r="F1530" s="75" t="s">
        <v>1268</v>
      </c>
      <c r="G1530" s="75" t="s">
        <v>1268</v>
      </c>
    </row>
    <row r="1531" spans="1:7" x14ac:dyDescent="0.2">
      <c r="A1531" s="40">
        <v>6384</v>
      </c>
      <c r="B1531" s="39" t="s">
        <v>980</v>
      </c>
      <c r="C1531" s="40" t="s">
        <v>871</v>
      </c>
      <c r="D1531" s="75" t="s">
        <v>1269</v>
      </c>
      <c r="E1531" s="75" t="s">
        <v>1266</v>
      </c>
      <c r="F1531" s="75" t="s">
        <v>1268</v>
      </c>
      <c r="G1531" s="75" t="s">
        <v>1268</v>
      </c>
    </row>
    <row r="1532" spans="1:7" x14ac:dyDescent="0.2">
      <c r="A1532" s="40">
        <v>6385</v>
      </c>
      <c r="B1532" s="39" t="s">
        <v>981</v>
      </c>
      <c r="C1532" s="40" t="s">
        <v>871</v>
      </c>
      <c r="D1532" s="75" t="s">
        <v>1269</v>
      </c>
      <c r="E1532" s="75" t="s">
        <v>1266</v>
      </c>
      <c r="F1532" s="75" t="s">
        <v>1268</v>
      </c>
      <c r="G1532" s="75" t="s">
        <v>1267</v>
      </c>
    </row>
    <row r="1533" spans="1:7" x14ac:dyDescent="0.2">
      <c r="A1533" s="40">
        <v>6391</v>
      </c>
      <c r="B1533" s="39" t="s">
        <v>982</v>
      </c>
      <c r="C1533" s="40" t="s">
        <v>871</v>
      </c>
      <c r="D1533" s="75" t="s">
        <v>1269</v>
      </c>
      <c r="E1533" s="75" t="s">
        <v>1266</v>
      </c>
      <c r="F1533" s="75" t="s">
        <v>1268</v>
      </c>
      <c r="G1533" s="75" t="s">
        <v>1268</v>
      </c>
    </row>
    <row r="1534" spans="1:7" x14ac:dyDescent="0.2">
      <c r="A1534" s="40">
        <v>6392</v>
      </c>
      <c r="B1534" s="39" t="s">
        <v>983</v>
      </c>
      <c r="C1534" s="40" t="s">
        <v>871</v>
      </c>
      <c r="D1534" s="75" t="s">
        <v>1269</v>
      </c>
      <c r="E1534" s="75" t="s">
        <v>1266</v>
      </c>
      <c r="F1534" s="75" t="s">
        <v>1268</v>
      </c>
      <c r="G1534" s="75" t="s">
        <v>1267</v>
      </c>
    </row>
    <row r="1535" spans="1:7" x14ac:dyDescent="0.2">
      <c r="A1535" s="40">
        <v>6393</v>
      </c>
      <c r="B1535" s="39" t="s">
        <v>984</v>
      </c>
      <c r="C1535" s="40" t="s">
        <v>871</v>
      </c>
      <c r="D1535" s="75" t="s">
        <v>1269</v>
      </c>
      <c r="E1535" s="75" t="s">
        <v>1266</v>
      </c>
      <c r="F1535" s="75" t="s">
        <v>1268</v>
      </c>
      <c r="G1535" s="75" t="s">
        <v>1268</v>
      </c>
    </row>
    <row r="1536" spans="1:7" x14ac:dyDescent="0.2">
      <c r="A1536" s="40">
        <v>6395</v>
      </c>
      <c r="B1536" s="39" t="s">
        <v>985</v>
      </c>
      <c r="C1536" s="40" t="s">
        <v>871</v>
      </c>
      <c r="D1536" s="75" t="s">
        <v>1269</v>
      </c>
      <c r="E1536" s="75" t="s">
        <v>1266</v>
      </c>
      <c r="F1536" s="75" t="s">
        <v>1268</v>
      </c>
      <c r="G1536" s="75" t="s">
        <v>1267</v>
      </c>
    </row>
    <row r="1537" spans="1:7" x14ac:dyDescent="0.2">
      <c r="A1537" s="40">
        <v>6401</v>
      </c>
      <c r="B1537" s="39" t="s">
        <v>986</v>
      </c>
      <c r="C1537" s="40" t="s">
        <v>871</v>
      </c>
      <c r="D1537" s="75" t="s">
        <v>1269</v>
      </c>
      <c r="E1537" s="75" t="s">
        <v>1266</v>
      </c>
      <c r="F1537" s="75" t="s">
        <v>1268</v>
      </c>
      <c r="G1537" s="75" t="s">
        <v>1268</v>
      </c>
    </row>
    <row r="1538" spans="1:7" x14ac:dyDescent="0.2">
      <c r="A1538" s="40">
        <v>6402</v>
      </c>
      <c r="B1538" s="39" t="s">
        <v>987</v>
      </c>
      <c r="C1538" s="40" t="s">
        <v>871</v>
      </c>
      <c r="D1538" s="75" t="s">
        <v>1269</v>
      </c>
      <c r="E1538" s="75" t="s">
        <v>1266</v>
      </c>
      <c r="F1538" s="75" t="s">
        <v>1268</v>
      </c>
      <c r="G1538" s="75" t="s">
        <v>1267</v>
      </c>
    </row>
    <row r="1539" spans="1:7" x14ac:dyDescent="0.2">
      <c r="A1539" s="40">
        <v>6403</v>
      </c>
      <c r="B1539" s="39" t="s">
        <v>988</v>
      </c>
      <c r="C1539" s="40" t="s">
        <v>871</v>
      </c>
      <c r="D1539" s="75" t="s">
        <v>1269</v>
      </c>
      <c r="E1539" s="75" t="s">
        <v>1266</v>
      </c>
      <c r="F1539" s="75" t="s">
        <v>1268</v>
      </c>
      <c r="G1539" s="75" t="s">
        <v>1267</v>
      </c>
    </row>
    <row r="1540" spans="1:7" x14ac:dyDescent="0.2">
      <c r="A1540" s="40">
        <v>6404</v>
      </c>
      <c r="B1540" s="39" t="s">
        <v>989</v>
      </c>
      <c r="C1540" s="40" t="s">
        <v>871</v>
      </c>
      <c r="D1540" s="75" t="s">
        <v>1269</v>
      </c>
      <c r="E1540" s="75" t="s">
        <v>1266</v>
      </c>
      <c r="F1540" s="75" t="s">
        <v>1268</v>
      </c>
      <c r="G1540" s="75" t="s">
        <v>1267</v>
      </c>
    </row>
    <row r="1541" spans="1:7" x14ac:dyDescent="0.2">
      <c r="A1541" s="40">
        <v>6405</v>
      </c>
      <c r="B1541" s="39" t="s">
        <v>990</v>
      </c>
      <c r="C1541" s="40" t="s">
        <v>871</v>
      </c>
      <c r="D1541" s="75" t="s">
        <v>1269</v>
      </c>
      <c r="E1541" s="75" t="s">
        <v>1266</v>
      </c>
      <c r="F1541" s="75" t="s">
        <v>1268</v>
      </c>
      <c r="G1541" s="75" t="s">
        <v>1267</v>
      </c>
    </row>
    <row r="1542" spans="1:7" x14ac:dyDescent="0.2">
      <c r="A1542" s="40">
        <v>6406</v>
      </c>
      <c r="B1542" s="39" t="s">
        <v>991</v>
      </c>
      <c r="C1542" s="40" t="s">
        <v>871</v>
      </c>
      <c r="D1542" s="75" t="s">
        <v>1269</v>
      </c>
      <c r="E1542" s="75" t="s">
        <v>1266</v>
      </c>
      <c r="F1542" s="75" t="s">
        <v>1268</v>
      </c>
      <c r="G1542" s="75" t="s">
        <v>1267</v>
      </c>
    </row>
    <row r="1543" spans="1:7" x14ac:dyDescent="0.2">
      <c r="A1543" s="40">
        <v>6408</v>
      </c>
      <c r="B1543" s="39" t="s">
        <v>992</v>
      </c>
      <c r="C1543" s="40" t="s">
        <v>871</v>
      </c>
      <c r="D1543" s="75" t="s">
        <v>1269</v>
      </c>
      <c r="E1543" s="75" t="s">
        <v>1266</v>
      </c>
      <c r="F1543" s="75" t="s">
        <v>1268</v>
      </c>
      <c r="G1543" s="75" t="s">
        <v>1267</v>
      </c>
    </row>
    <row r="1544" spans="1:7" x14ac:dyDescent="0.2">
      <c r="A1544" s="40">
        <v>6410</v>
      </c>
      <c r="B1544" s="39" t="s">
        <v>993</v>
      </c>
      <c r="C1544" s="40" t="s">
        <v>871</v>
      </c>
      <c r="D1544" s="75" t="s">
        <v>1269</v>
      </c>
      <c r="E1544" s="75" t="s">
        <v>1266</v>
      </c>
      <c r="F1544" s="75" t="s">
        <v>1268</v>
      </c>
      <c r="G1544" s="75" t="s">
        <v>1268</v>
      </c>
    </row>
    <row r="1545" spans="1:7" x14ac:dyDescent="0.2">
      <c r="A1545" s="40">
        <v>6412</v>
      </c>
      <c r="B1545" s="39" t="s">
        <v>994</v>
      </c>
      <c r="C1545" s="40" t="s">
        <v>871</v>
      </c>
      <c r="D1545" s="75" t="s">
        <v>1271</v>
      </c>
      <c r="E1545" s="75" t="s">
        <v>1266</v>
      </c>
      <c r="F1545" s="75" t="s">
        <v>1267</v>
      </c>
      <c r="G1545" s="75" t="s">
        <v>1268</v>
      </c>
    </row>
    <row r="1546" spans="1:7" x14ac:dyDescent="0.2">
      <c r="A1546" s="40">
        <v>6414</v>
      </c>
      <c r="B1546" s="39" t="s">
        <v>995</v>
      </c>
      <c r="C1546" s="40" t="s">
        <v>871</v>
      </c>
      <c r="D1546" s="75" t="s">
        <v>1269</v>
      </c>
      <c r="E1546" s="75" t="s">
        <v>1266</v>
      </c>
      <c r="F1546" s="75" t="s">
        <v>1268</v>
      </c>
      <c r="G1546" s="75" t="s">
        <v>1268</v>
      </c>
    </row>
    <row r="1547" spans="1:7" x14ac:dyDescent="0.2">
      <c r="A1547" s="40">
        <v>6416</v>
      </c>
      <c r="B1547" s="39" t="s">
        <v>996</v>
      </c>
      <c r="C1547" s="40" t="s">
        <v>871</v>
      </c>
      <c r="D1547" s="75" t="s">
        <v>1269</v>
      </c>
      <c r="E1547" s="75" t="s">
        <v>1266</v>
      </c>
      <c r="F1547" s="75" t="s">
        <v>1268</v>
      </c>
      <c r="G1547" s="75" t="s">
        <v>1267</v>
      </c>
    </row>
    <row r="1548" spans="1:7" x14ac:dyDescent="0.2">
      <c r="A1548" s="40">
        <v>6421</v>
      </c>
      <c r="B1548" s="39" t="s">
        <v>997</v>
      </c>
      <c r="C1548" s="40" t="s">
        <v>871</v>
      </c>
      <c r="D1548" s="75" t="s">
        <v>1269</v>
      </c>
      <c r="E1548" s="75" t="s">
        <v>1266</v>
      </c>
      <c r="F1548" s="75" t="s">
        <v>1268</v>
      </c>
      <c r="G1548" s="75" t="s">
        <v>1267</v>
      </c>
    </row>
    <row r="1549" spans="1:7" x14ac:dyDescent="0.2">
      <c r="A1549" s="40">
        <v>6422</v>
      </c>
      <c r="B1549" s="39" t="s">
        <v>998</v>
      </c>
      <c r="C1549" s="40" t="s">
        <v>871</v>
      </c>
      <c r="D1549" s="75" t="s">
        <v>1269</v>
      </c>
      <c r="E1549" s="75" t="s">
        <v>1266</v>
      </c>
      <c r="F1549" s="75" t="s">
        <v>1268</v>
      </c>
      <c r="G1549" s="75" t="s">
        <v>1268</v>
      </c>
    </row>
    <row r="1550" spans="1:7" x14ac:dyDescent="0.2">
      <c r="A1550" s="40">
        <v>6423</v>
      </c>
      <c r="B1550" s="39" t="s">
        <v>999</v>
      </c>
      <c r="C1550" s="40" t="s">
        <v>871</v>
      </c>
      <c r="D1550" s="75" t="s">
        <v>1269</v>
      </c>
      <c r="E1550" s="75" t="s">
        <v>1266</v>
      </c>
      <c r="F1550" s="75" t="s">
        <v>1268</v>
      </c>
      <c r="G1550" s="75" t="s">
        <v>1267</v>
      </c>
    </row>
    <row r="1551" spans="1:7" x14ac:dyDescent="0.2">
      <c r="A1551" s="40">
        <v>6424</v>
      </c>
      <c r="B1551" s="39" t="s">
        <v>1000</v>
      </c>
      <c r="C1551" s="40" t="s">
        <v>871</v>
      </c>
      <c r="D1551" s="75" t="s">
        <v>1269</v>
      </c>
      <c r="E1551" s="75" t="s">
        <v>1266</v>
      </c>
      <c r="F1551" s="75" t="s">
        <v>1268</v>
      </c>
      <c r="G1551" s="75" t="s">
        <v>1268</v>
      </c>
    </row>
    <row r="1552" spans="1:7" x14ac:dyDescent="0.2">
      <c r="A1552" s="40">
        <v>6425</v>
      </c>
      <c r="B1552" s="39" t="s">
        <v>1001</v>
      </c>
      <c r="C1552" s="40" t="s">
        <v>871</v>
      </c>
      <c r="D1552" s="75" t="s">
        <v>1269</v>
      </c>
      <c r="E1552" s="75" t="s">
        <v>1266</v>
      </c>
      <c r="F1552" s="75" t="s">
        <v>1268</v>
      </c>
      <c r="G1552" s="75" t="s">
        <v>1268</v>
      </c>
    </row>
    <row r="1553" spans="1:7" x14ac:dyDescent="0.2">
      <c r="A1553" s="40">
        <v>6426</v>
      </c>
      <c r="B1553" s="39" t="s">
        <v>1002</v>
      </c>
      <c r="C1553" s="40" t="s">
        <v>871</v>
      </c>
      <c r="D1553" s="75" t="s">
        <v>1269</v>
      </c>
      <c r="E1553" s="75" t="s">
        <v>1266</v>
      </c>
      <c r="F1553" s="75" t="s">
        <v>1268</v>
      </c>
      <c r="G1553" s="75" t="s">
        <v>1267</v>
      </c>
    </row>
    <row r="1554" spans="1:7" x14ac:dyDescent="0.2">
      <c r="A1554" s="40">
        <v>6430</v>
      </c>
      <c r="B1554" s="39" t="s">
        <v>1003</v>
      </c>
      <c r="C1554" s="40" t="s">
        <v>871</v>
      </c>
      <c r="D1554" s="75" t="s">
        <v>1269</v>
      </c>
      <c r="E1554" s="75" t="s">
        <v>1266</v>
      </c>
      <c r="F1554" s="75" t="s">
        <v>1268</v>
      </c>
      <c r="G1554" s="75" t="s">
        <v>1268</v>
      </c>
    </row>
    <row r="1555" spans="1:7" x14ac:dyDescent="0.2">
      <c r="A1555" s="40">
        <v>6432</v>
      </c>
      <c r="B1555" s="39" t="s">
        <v>1004</v>
      </c>
      <c r="C1555" s="40" t="s">
        <v>871</v>
      </c>
      <c r="D1555" s="75" t="s">
        <v>1269</v>
      </c>
      <c r="E1555" s="75" t="s">
        <v>1266</v>
      </c>
      <c r="F1555" s="75" t="s">
        <v>1268</v>
      </c>
      <c r="G1555" s="75" t="s">
        <v>1267</v>
      </c>
    </row>
    <row r="1556" spans="1:7" x14ac:dyDescent="0.2">
      <c r="A1556" s="40">
        <v>6433</v>
      </c>
      <c r="B1556" s="39" t="s">
        <v>1005</v>
      </c>
      <c r="C1556" s="40" t="s">
        <v>871</v>
      </c>
      <c r="D1556" s="75" t="s">
        <v>1269</v>
      </c>
      <c r="E1556" s="75" t="s">
        <v>1266</v>
      </c>
      <c r="F1556" s="75" t="s">
        <v>1268</v>
      </c>
      <c r="G1556" s="75" t="s">
        <v>1268</v>
      </c>
    </row>
    <row r="1557" spans="1:7" x14ac:dyDescent="0.2">
      <c r="A1557" s="40">
        <v>6441</v>
      </c>
      <c r="B1557" s="39" t="s">
        <v>1006</v>
      </c>
      <c r="C1557" s="40" t="s">
        <v>871</v>
      </c>
      <c r="D1557" s="75" t="s">
        <v>1269</v>
      </c>
      <c r="E1557" s="75" t="s">
        <v>1266</v>
      </c>
      <c r="F1557" s="75" t="s">
        <v>1268</v>
      </c>
      <c r="G1557" s="75" t="s">
        <v>1268</v>
      </c>
    </row>
    <row r="1558" spans="1:7" x14ac:dyDescent="0.2">
      <c r="A1558" s="40">
        <v>6444</v>
      </c>
      <c r="B1558" s="39" t="s">
        <v>1007</v>
      </c>
      <c r="C1558" s="40" t="s">
        <v>871</v>
      </c>
      <c r="D1558" s="75" t="s">
        <v>1269</v>
      </c>
      <c r="E1558" s="75" t="s">
        <v>1266</v>
      </c>
      <c r="F1558" s="75" t="s">
        <v>1268</v>
      </c>
      <c r="G1558" s="75" t="s">
        <v>1268</v>
      </c>
    </row>
    <row r="1559" spans="1:7" x14ac:dyDescent="0.2">
      <c r="A1559" s="40">
        <v>6450</v>
      </c>
      <c r="B1559" s="39" t="s">
        <v>1008</v>
      </c>
      <c r="C1559" s="40" t="s">
        <v>871</v>
      </c>
      <c r="D1559" s="75" t="s">
        <v>1269</v>
      </c>
      <c r="E1559" s="75" t="s">
        <v>1266</v>
      </c>
      <c r="F1559" s="75" t="s">
        <v>1268</v>
      </c>
      <c r="G1559" s="75" t="s">
        <v>1268</v>
      </c>
    </row>
    <row r="1560" spans="1:7" x14ac:dyDescent="0.2">
      <c r="A1560" s="40">
        <v>6452</v>
      </c>
      <c r="B1560" s="39" t="s">
        <v>1009</v>
      </c>
      <c r="C1560" s="40" t="s">
        <v>871</v>
      </c>
      <c r="D1560" s="75" t="s">
        <v>1269</v>
      </c>
      <c r="E1560" s="75" t="s">
        <v>1266</v>
      </c>
      <c r="F1560" s="75" t="s">
        <v>1268</v>
      </c>
      <c r="G1560" s="75" t="s">
        <v>1267</v>
      </c>
    </row>
    <row r="1561" spans="1:7" x14ac:dyDescent="0.2">
      <c r="A1561" s="40">
        <v>6456</v>
      </c>
      <c r="B1561" s="39" t="s">
        <v>1010</v>
      </c>
      <c r="C1561" s="40" t="s">
        <v>871</v>
      </c>
      <c r="D1561" s="75" t="s">
        <v>1269</v>
      </c>
      <c r="E1561" s="75" t="s">
        <v>1266</v>
      </c>
      <c r="F1561" s="75" t="s">
        <v>1268</v>
      </c>
      <c r="G1561" s="75" t="s">
        <v>1268</v>
      </c>
    </row>
    <row r="1562" spans="1:7" x14ac:dyDescent="0.2">
      <c r="A1562" s="40">
        <v>6458</v>
      </c>
      <c r="B1562" s="39" t="s">
        <v>1011</v>
      </c>
      <c r="C1562" s="40" t="s">
        <v>871</v>
      </c>
      <c r="D1562" s="75" t="s">
        <v>1269</v>
      </c>
      <c r="E1562" s="75" t="s">
        <v>1266</v>
      </c>
      <c r="F1562" s="75" t="s">
        <v>1268</v>
      </c>
      <c r="G1562" s="75" t="s">
        <v>1267</v>
      </c>
    </row>
    <row r="1563" spans="1:7" x14ac:dyDescent="0.2">
      <c r="A1563" s="40">
        <v>6460</v>
      </c>
      <c r="B1563" s="39" t="s">
        <v>186</v>
      </c>
      <c r="C1563" s="40" t="s">
        <v>871</v>
      </c>
      <c r="D1563" s="75" t="s">
        <v>1269</v>
      </c>
      <c r="E1563" s="75" t="s">
        <v>1266</v>
      </c>
      <c r="F1563" s="75" t="s">
        <v>1268</v>
      </c>
      <c r="G1563" s="75" t="s">
        <v>1268</v>
      </c>
    </row>
    <row r="1564" spans="1:7" x14ac:dyDescent="0.2">
      <c r="A1564" s="40">
        <v>6462</v>
      </c>
      <c r="B1564" s="39" t="s">
        <v>1012</v>
      </c>
      <c r="C1564" s="40" t="s">
        <v>871</v>
      </c>
      <c r="D1564" s="75" t="s">
        <v>1269</v>
      </c>
      <c r="E1564" s="75" t="s">
        <v>1266</v>
      </c>
      <c r="F1564" s="75" t="s">
        <v>1268</v>
      </c>
      <c r="G1564" s="75" t="s">
        <v>1267</v>
      </c>
    </row>
    <row r="1565" spans="1:7" x14ac:dyDescent="0.2">
      <c r="A1565" s="40">
        <v>6464</v>
      </c>
      <c r="B1565" s="39" t="s">
        <v>1013</v>
      </c>
      <c r="C1565" s="40" t="s">
        <v>871</v>
      </c>
      <c r="D1565" s="75" t="s">
        <v>1269</v>
      </c>
      <c r="E1565" s="75" t="s">
        <v>1266</v>
      </c>
      <c r="F1565" s="75" t="s">
        <v>1268</v>
      </c>
      <c r="G1565" s="75" t="s">
        <v>1267</v>
      </c>
    </row>
    <row r="1566" spans="1:7" x14ac:dyDescent="0.2">
      <c r="A1566" s="40">
        <v>6465</v>
      </c>
      <c r="B1566" s="39" t="s">
        <v>1014</v>
      </c>
      <c r="C1566" s="40" t="s">
        <v>871</v>
      </c>
      <c r="D1566" s="75" t="s">
        <v>1269</v>
      </c>
      <c r="E1566" s="75" t="s">
        <v>1266</v>
      </c>
      <c r="F1566" s="75" t="s">
        <v>1268</v>
      </c>
      <c r="G1566" s="75" t="s">
        <v>1268</v>
      </c>
    </row>
    <row r="1567" spans="1:7" x14ac:dyDescent="0.2">
      <c r="A1567" s="40">
        <v>6471</v>
      </c>
      <c r="B1567" s="39" t="s">
        <v>1015</v>
      </c>
      <c r="C1567" s="40" t="s">
        <v>871</v>
      </c>
      <c r="D1567" s="75" t="s">
        <v>1269</v>
      </c>
      <c r="E1567" s="75" t="s">
        <v>1266</v>
      </c>
      <c r="F1567" s="75" t="s">
        <v>1268</v>
      </c>
      <c r="G1567" s="75" t="s">
        <v>1268</v>
      </c>
    </row>
    <row r="1568" spans="1:7" x14ac:dyDescent="0.2">
      <c r="A1568" s="40">
        <v>6473</v>
      </c>
      <c r="B1568" s="39" t="s">
        <v>1016</v>
      </c>
      <c r="C1568" s="40" t="s">
        <v>871</v>
      </c>
      <c r="D1568" s="75" t="s">
        <v>1269</v>
      </c>
      <c r="E1568" s="75" t="s">
        <v>1266</v>
      </c>
      <c r="F1568" s="75" t="s">
        <v>1268</v>
      </c>
      <c r="G1568" s="75" t="s">
        <v>1268</v>
      </c>
    </row>
    <row r="1569" spans="1:7" x14ac:dyDescent="0.2">
      <c r="A1569" s="40">
        <v>6474</v>
      </c>
      <c r="B1569" s="39" t="s">
        <v>1017</v>
      </c>
      <c r="C1569" s="40" t="s">
        <v>871</v>
      </c>
      <c r="D1569" s="75" t="s">
        <v>1269</v>
      </c>
      <c r="E1569" s="75" t="s">
        <v>1266</v>
      </c>
      <c r="F1569" s="75" t="s">
        <v>1268</v>
      </c>
      <c r="G1569" s="75" t="s">
        <v>1267</v>
      </c>
    </row>
    <row r="1570" spans="1:7" x14ac:dyDescent="0.2">
      <c r="A1570" s="40">
        <v>6481</v>
      </c>
      <c r="B1570" s="39" t="s">
        <v>1018</v>
      </c>
      <c r="C1570" s="40" t="s">
        <v>871</v>
      </c>
      <c r="D1570" s="75" t="s">
        <v>1269</v>
      </c>
      <c r="E1570" s="75" t="s">
        <v>1266</v>
      </c>
      <c r="F1570" s="75" t="s">
        <v>1268</v>
      </c>
      <c r="G1570" s="75" t="s">
        <v>1268</v>
      </c>
    </row>
    <row r="1571" spans="1:7" x14ac:dyDescent="0.2">
      <c r="A1571" s="40">
        <v>6491</v>
      </c>
      <c r="B1571" s="39" t="s">
        <v>1019</v>
      </c>
      <c r="C1571" s="40" t="s">
        <v>871</v>
      </c>
      <c r="D1571" s="75" t="s">
        <v>1269</v>
      </c>
      <c r="E1571" s="75" t="s">
        <v>1266</v>
      </c>
      <c r="F1571" s="75" t="s">
        <v>1268</v>
      </c>
      <c r="G1571" s="75" t="s">
        <v>1267</v>
      </c>
    </row>
    <row r="1572" spans="1:7" x14ac:dyDescent="0.2">
      <c r="A1572" s="40">
        <v>6492</v>
      </c>
      <c r="B1572" s="39" t="s">
        <v>1020</v>
      </c>
      <c r="C1572" s="40" t="s">
        <v>871</v>
      </c>
      <c r="D1572" s="75" t="s">
        <v>1269</v>
      </c>
      <c r="E1572" s="75" t="s">
        <v>1266</v>
      </c>
      <c r="F1572" s="75" t="s">
        <v>1268</v>
      </c>
      <c r="G1572" s="75" t="s">
        <v>1267</v>
      </c>
    </row>
    <row r="1573" spans="1:7" x14ac:dyDescent="0.2">
      <c r="A1573" s="40">
        <v>6500</v>
      </c>
      <c r="B1573" s="39" t="s">
        <v>1021</v>
      </c>
      <c r="C1573" s="40" t="s">
        <v>871</v>
      </c>
      <c r="D1573" s="75" t="s">
        <v>1269</v>
      </c>
      <c r="E1573" s="75" t="s">
        <v>1266</v>
      </c>
      <c r="F1573" s="75" t="s">
        <v>1268</v>
      </c>
      <c r="G1573" s="75" t="s">
        <v>1268</v>
      </c>
    </row>
    <row r="1574" spans="1:7" x14ac:dyDescent="0.2">
      <c r="A1574" s="40">
        <v>6503</v>
      </c>
      <c r="B1574" s="39" t="s">
        <v>1022</v>
      </c>
      <c r="C1574" s="40" t="s">
        <v>871</v>
      </c>
      <c r="D1574" s="75" t="s">
        <v>1271</v>
      </c>
      <c r="E1574" s="75" t="s">
        <v>1266</v>
      </c>
      <c r="F1574" s="75" t="s">
        <v>1267</v>
      </c>
      <c r="G1574" s="75" t="s">
        <v>1268</v>
      </c>
    </row>
    <row r="1575" spans="1:7" x14ac:dyDescent="0.2">
      <c r="A1575" s="40">
        <v>6511</v>
      </c>
      <c r="B1575" s="39" t="s">
        <v>1023</v>
      </c>
      <c r="C1575" s="40" t="s">
        <v>871</v>
      </c>
      <c r="D1575" s="75" t="s">
        <v>1269</v>
      </c>
      <c r="E1575" s="75" t="s">
        <v>1266</v>
      </c>
      <c r="F1575" s="75" t="s">
        <v>1268</v>
      </c>
      <c r="G1575" s="75" t="s">
        <v>1268</v>
      </c>
    </row>
    <row r="1576" spans="1:7" x14ac:dyDescent="0.2">
      <c r="A1576" s="40">
        <v>6521</v>
      </c>
      <c r="B1576" s="39" t="s">
        <v>1024</v>
      </c>
      <c r="C1576" s="40" t="s">
        <v>871</v>
      </c>
      <c r="D1576" s="75" t="s">
        <v>1269</v>
      </c>
      <c r="E1576" s="75" t="s">
        <v>1266</v>
      </c>
      <c r="F1576" s="75" t="s">
        <v>1268</v>
      </c>
      <c r="G1576" s="75" t="s">
        <v>1267</v>
      </c>
    </row>
    <row r="1577" spans="1:7" x14ac:dyDescent="0.2">
      <c r="A1577" s="40">
        <v>6522</v>
      </c>
      <c r="B1577" s="39" t="s">
        <v>1025</v>
      </c>
      <c r="C1577" s="40" t="s">
        <v>871</v>
      </c>
      <c r="D1577" s="75" t="s">
        <v>1269</v>
      </c>
      <c r="E1577" s="75" t="s">
        <v>1266</v>
      </c>
      <c r="F1577" s="75" t="s">
        <v>1268</v>
      </c>
      <c r="G1577" s="75" t="s">
        <v>1268</v>
      </c>
    </row>
    <row r="1578" spans="1:7" x14ac:dyDescent="0.2">
      <c r="A1578" s="40">
        <v>6524</v>
      </c>
      <c r="B1578" s="39" t="s">
        <v>1026</v>
      </c>
      <c r="C1578" s="40" t="s">
        <v>871</v>
      </c>
      <c r="D1578" s="75" t="s">
        <v>1269</v>
      </c>
      <c r="E1578" s="75" t="s">
        <v>1266</v>
      </c>
      <c r="F1578" s="75" t="s">
        <v>1268</v>
      </c>
      <c r="G1578" s="75" t="s">
        <v>1267</v>
      </c>
    </row>
    <row r="1579" spans="1:7" x14ac:dyDescent="0.2">
      <c r="A1579" s="40">
        <v>6527</v>
      </c>
      <c r="B1579" s="39" t="s">
        <v>1027</v>
      </c>
      <c r="C1579" s="40" t="s">
        <v>871</v>
      </c>
      <c r="D1579" s="75" t="s">
        <v>1269</v>
      </c>
      <c r="E1579" s="75" t="s">
        <v>1266</v>
      </c>
      <c r="F1579" s="75" t="s">
        <v>1268</v>
      </c>
      <c r="G1579" s="75" t="s">
        <v>1267</v>
      </c>
    </row>
    <row r="1580" spans="1:7" x14ac:dyDescent="0.2">
      <c r="A1580" s="40">
        <v>6528</v>
      </c>
      <c r="B1580" s="39" t="s">
        <v>1028</v>
      </c>
      <c r="C1580" s="40" t="s">
        <v>871</v>
      </c>
      <c r="D1580" s="75" t="s">
        <v>1269</v>
      </c>
      <c r="E1580" s="75" t="s">
        <v>1266</v>
      </c>
      <c r="F1580" s="75" t="s">
        <v>1268</v>
      </c>
      <c r="G1580" s="75" t="s">
        <v>1267</v>
      </c>
    </row>
    <row r="1581" spans="1:7" x14ac:dyDescent="0.2">
      <c r="A1581" s="40">
        <v>6531</v>
      </c>
      <c r="B1581" s="39" t="s">
        <v>1029</v>
      </c>
      <c r="C1581" s="40" t="s">
        <v>871</v>
      </c>
      <c r="D1581" s="75" t="s">
        <v>1269</v>
      </c>
      <c r="E1581" s="75" t="s">
        <v>1266</v>
      </c>
      <c r="F1581" s="75" t="s">
        <v>1268</v>
      </c>
      <c r="G1581" s="75" t="s">
        <v>1268</v>
      </c>
    </row>
    <row r="1582" spans="1:7" x14ac:dyDescent="0.2">
      <c r="A1582" s="40">
        <v>6532</v>
      </c>
      <c r="B1582" s="39" t="s">
        <v>1030</v>
      </c>
      <c r="C1582" s="40" t="s">
        <v>871</v>
      </c>
      <c r="D1582" s="75" t="s">
        <v>1269</v>
      </c>
      <c r="E1582" s="75" t="s">
        <v>1266</v>
      </c>
      <c r="F1582" s="75" t="s">
        <v>1268</v>
      </c>
      <c r="G1582" s="75" t="s">
        <v>1267</v>
      </c>
    </row>
    <row r="1583" spans="1:7" x14ac:dyDescent="0.2">
      <c r="A1583" s="40">
        <v>6533</v>
      </c>
      <c r="B1583" s="39" t="s">
        <v>1031</v>
      </c>
      <c r="C1583" s="40" t="s">
        <v>871</v>
      </c>
      <c r="D1583" s="75" t="s">
        <v>1269</v>
      </c>
      <c r="E1583" s="75" t="s">
        <v>1266</v>
      </c>
      <c r="F1583" s="75" t="s">
        <v>1268</v>
      </c>
      <c r="G1583" s="75" t="s">
        <v>1268</v>
      </c>
    </row>
    <row r="1584" spans="1:7" x14ac:dyDescent="0.2">
      <c r="A1584" s="40">
        <v>6534</v>
      </c>
      <c r="B1584" s="39" t="s">
        <v>1032</v>
      </c>
      <c r="C1584" s="40" t="s">
        <v>871</v>
      </c>
      <c r="D1584" s="75" t="s">
        <v>1269</v>
      </c>
      <c r="E1584" s="75" t="s">
        <v>1266</v>
      </c>
      <c r="F1584" s="75" t="s">
        <v>1268</v>
      </c>
      <c r="G1584" s="75" t="s">
        <v>1268</v>
      </c>
    </row>
    <row r="1585" spans="1:7" x14ac:dyDescent="0.2">
      <c r="A1585" s="40">
        <v>6541</v>
      </c>
      <c r="B1585" s="39" t="s">
        <v>1033</v>
      </c>
      <c r="C1585" s="40" t="s">
        <v>871</v>
      </c>
      <c r="D1585" s="75" t="s">
        <v>1269</v>
      </c>
      <c r="E1585" s="75" t="s">
        <v>1266</v>
      </c>
      <c r="F1585" s="75" t="s">
        <v>1268</v>
      </c>
      <c r="G1585" s="75" t="s">
        <v>1267</v>
      </c>
    </row>
    <row r="1586" spans="1:7" x14ac:dyDescent="0.2">
      <c r="A1586" s="40">
        <v>6542</v>
      </c>
      <c r="B1586" s="39" t="s">
        <v>1034</v>
      </c>
      <c r="C1586" s="40" t="s">
        <v>871</v>
      </c>
      <c r="D1586" s="75" t="s">
        <v>1269</v>
      </c>
      <c r="E1586" s="75" t="s">
        <v>1266</v>
      </c>
      <c r="F1586" s="75" t="s">
        <v>1268</v>
      </c>
      <c r="G1586" s="75" t="s">
        <v>1268</v>
      </c>
    </row>
    <row r="1587" spans="1:7" x14ac:dyDescent="0.2">
      <c r="A1587" s="40">
        <v>6543</v>
      </c>
      <c r="B1587" s="39" t="s">
        <v>231</v>
      </c>
      <c r="C1587" s="40" t="s">
        <v>871</v>
      </c>
      <c r="D1587" s="75" t="s">
        <v>1269</v>
      </c>
      <c r="E1587" s="75" t="s">
        <v>1266</v>
      </c>
      <c r="F1587" s="75" t="s">
        <v>1268</v>
      </c>
      <c r="G1587" s="75" t="s">
        <v>1268</v>
      </c>
    </row>
    <row r="1588" spans="1:7" x14ac:dyDescent="0.2">
      <c r="A1588" s="40">
        <v>6544</v>
      </c>
      <c r="B1588" s="39" t="s">
        <v>1035</v>
      </c>
      <c r="C1588" s="40" t="s">
        <v>871</v>
      </c>
      <c r="D1588" s="75" t="s">
        <v>1269</v>
      </c>
      <c r="E1588" s="75" t="s">
        <v>1266</v>
      </c>
      <c r="F1588" s="75" t="s">
        <v>1268</v>
      </c>
      <c r="G1588" s="75" t="s">
        <v>1267</v>
      </c>
    </row>
    <row r="1589" spans="1:7" x14ac:dyDescent="0.2">
      <c r="A1589" s="40">
        <v>6551</v>
      </c>
      <c r="B1589" s="39" t="s">
        <v>1036</v>
      </c>
      <c r="C1589" s="40" t="s">
        <v>871</v>
      </c>
      <c r="D1589" s="75" t="s">
        <v>1269</v>
      </c>
      <c r="E1589" s="75" t="s">
        <v>1266</v>
      </c>
      <c r="F1589" s="75" t="s">
        <v>1268</v>
      </c>
      <c r="G1589" s="75" t="s">
        <v>1268</v>
      </c>
    </row>
    <row r="1590" spans="1:7" x14ac:dyDescent="0.2">
      <c r="A1590" s="40">
        <v>6552</v>
      </c>
      <c r="B1590" s="39" t="s">
        <v>1037</v>
      </c>
      <c r="C1590" s="40" t="s">
        <v>871</v>
      </c>
      <c r="D1590" s="75" t="s">
        <v>1269</v>
      </c>
      <c r="E1590" s="75" t="s">
        <v>1266</v>
      </c>
      <c r="F1590" s="75" t="s">
        <v>1268</v>
      </c>
      <c r="G1590" s="75" t="s">
        <v>1267</v>
      </c>
    </row>
    <row r="1591" spans="1:7" x14ac:dyDescent="0.2">
      <c r="A1591" s="40">
        <v>6553</v>
      </c>
      <c r="B1591" s="39" t="s">
        <v>1038</v>
      </c>
      <c r="C1591" s="40" t="s">
        <v>871</v>
      </c>
      <c r="D1591" s="75" t="s">
        <v>1269</v>
      </c>
      <c r="E1591" s="75" t="s">
        <v>1266</v>
      </c>
      <c r="F1591" s="75" t="s">
        <v>1268</v>
      </c>
      <c r="G1591" s="75" t="s">
        <v>1268</v>
      </c>
    </row>
    <row r="1592" spans="1:7" x14ac:dyDescent="0.2">
      <c r="A1592" s="40">
        <v>6555</v>
      </c>
      <c r="B1592" s="39" t="s">
        <v>1039</v>
      </c>
      <c r="C1592" s="40" t="s">
        <v>871</v>
      </c>
      <c r="D1592" s="75" t="s">
        <v>1269</v>
      </c>
      <c r="E1592" s="75" t="s">
        <v>1266</v>
      </c>
      <c r="F1592" s="75" t="s">
        <v>1268</v>
      </c>
      <c r="G1592" s="75" t="s">
        <v>1268</v>
      </c>
    </row>
    <row r="1593" spans="1:7" x14ac:dyDescent="0.2">
      <c r="A1593" s="40">
        <v>6561</v>
      </c>
      <c r="B1593" s="39" t="s">
        <v>1040</v>
      </c>
      <c r="C1593" s="40" t="s">
        <v>871</v>
      </c>
      <c r="D1593" s="75" t="s">
        <v>1269</v>
      </c>
      <c r="E1593" s="75" t="s">
        <v>1266</v>
      </c>
      <c r="F1593" s="75" t="s">
        <v>1268</v>
      </c>
      <c r="G1593" s="75" t="s">
        <v>1268</v>
      </c>
    </row>
    <row r="1594" spans="1:7" x14ac:dyDescent="0.2">
      <c r="A1594" s="40">
        <v>6562</v>
      </c>
      <c r="B1594" s="39" t="s">
        <v>1041</v>
      </c>
      <c r="C1594" s="40" t="s">
        <v>871</v>
      </c>
      <c r="D1594" s="75" t="s">
        <v>1269</v>
      </c>
      <c r="E1594" s="75" t="s">
        <v>1266</v>
      </c>
      <c r="F1594" s="75" t="s">
        <v>1268</v>
      </c>
      <c r="G1594" s="75" t="s">
        <v>1267</v>
      </c>
    </row>
    <row r="1595" spans="1:7" x14ac:dyDescent="0.2">
      <c r="A1595" s="40">
        <v>6563</v>
      </c>
      <c r="B1595" s="39" t="s">
        <v>1042</v>
      </c>
      <c r="C1595" s="40" t="s">
        <v>871</v>
      </c>
      <c r="D1595" s="75" t="s">
        <v>1269</v>
      </c>
      <c r="E1595" s="75" t="s">
        <v>1266</v>
      </c>
      <c r="F1595" s="75" t="s">
        <v>1268</v>
      </c>
      <c r="G1595" s="75" t="s">
        <v>1268</v>
      </c>
    </row>
    <row r="1596" spans="1:7" x14ac:dyDescent="0.2">
      <c r="A1596" s="40">
        <v>6571</v>
      </c>
      <c r="B1596" s="39" t="s">
        <v>1043</v>
      </c>
      <c r="C1596" s="40" t="s">
        <v>871</v>
      </c>
      <c r="D1596" s="75" t="s">
        <v>1269</v>
      </c>
      <c r="E1596" s="75" t="s">
        <v>1266</v>
      </c>
      <c r="F1596" s="75" t="s">
        <v>1268</v>
      </c>
      <c r="G1596" s="75" t="s">
        <v>1267</v>
      </c>
    </row>
    <row r="1597" spans="1:7" x14ac:dyDescent="0.2">
      <c r="A1597" s="40">
        <v>6572</v>
      </c>
      <c r="B1597" s="39" t="s">
        <v>1044</v>
      </c>
      <c r="C1597" s="40" t="s">
        <v>871</v>
      </c>
      <c r="D1597" s="75" t="s">
        <v>1269</v>
      </c>
      <c r="E1597" s="75" t="s">
        <v>1266</v>
      </c>
      <c r="F1597" s="75" t="s">
        <v>1268</v>
      </c>
      <c r="G1597" s="75" t="s">
        <v>1268</v>
      </c>
    </row>
    <row r="1598" spans="1:7" x14ac:dyDescent="0.2">
      <c r="A1598" s="40">
        <v>6574</v>
      </c>
      <c r="B1598" s="39" t="s">
        <v>1045</v>
      </c>
      <c r="C1598" s="40" t="s">
        <v>871</v>
      </c>
      <c r="D1598" s="75" t="s">
        <v>1269</v>
      </c>
      <c r="E1598" s="75" t="s">
        <v>1266</v>
      </c>
      <c r="F1598" s="75" t="s">
        <v>1268</v>
      </c>
      <c r="G1598" s="75" t="s">
        <v>1268</v>
      </c>
    </row>
    <row r="1599" spans="1:7" x14ac:dyDescent="0.2">
      <c r="A1599" s="40">
        <v>6580</v>
      </c>
      <c r="B1599" s="39" t="s">
        <v>1046</v>
      </c>
      <c r="C1599" s="40" t="s">
        <v>871</v>
      </c>
      <c r="D1599" s="75" t="s">
        <v>1269</v>
      </c>
      <c r="E1599" s="75" t="s">
        <v>1266</v>
      </c>
      <c r="F1599" s="75" t="s">
        <v>1268</v>
      </c>
      <c r="G1599" s="75" t="s">
        <v>1268</v>
      </c>
    </row>
    <row r="1600" spans="1:7" x14ac:dyDescent="0.2">
      <c r="A1600" s="40">
        <v>6591</v>
      </c>
      <c r="B1600" s="39" t="s">
        <v>1047</v>
      </c>
      <c r="C1600" s="40" t="s">
        <v>871</v>
      </c>
      <c r="D1600" s="75" t="s">
        <v>1269</v>
      </c>
      <c r="E1600" s="75" t="s">
        <v>1266</v>
      </c>
      <c r="F1600" s="75" t="s">
        <v>1268</v>
      </c>
      <c r="G1600" s="75" t="s">
        <v>1267</v>
      </c>
    </row>
    <row r="1601" spans="1:7" x14ac:dyDescent="0.2">
      <c r="A1601" s="40">
        <v>6600</v>
      </c>
      <c r="B1601" s="39" t="s">
        <v>1048</v>
      </c>
      <c r="C1601" s="40" t="s">
        <v>871</v>
      </c>
      <c r="D1601" s="75" t="s">
        <v>1269</v>
      </c>
      <c r="E1601" s="75" t="s">
        <v>1266</v>
      </c>
      <c r="F1601" s="75" t="s">
        <v>1268</v>
      </c>
      <c r="G1601" s="75" t="s">
        <v>1268</v>
      </c>
    </row>
    <row r="1602" spans="1:7" x14ac:dyDescent="0.2">
      <c r="A1602" s="40">
        <v>6610</v>
      </c>
      <c r="B1602" s="39" t="s">
        <v>1049</v>
      </c>
      <c r="C1602" s="40" t="s">
        <v>871</v>
      </c>
      <c r="D1602" s="75" t="s">
        <v>1269</v>
      </c>
      <c r="E1602" s="75" t="s">
        <v>1266</v>
      </c>
      <c r="F1602" s="75" t="s">
        <v>1268</v>
      </c>
      <c r="G1602" s="75" t="s">
        <v>1267</v>
      </c>
    </row>
    <row r="1603" spans="1:7" x14ac:dyDescent="0.2">
      <c r="A1603" s="40">
        <v>6611</v>
      </c>
      <c r="B1603" s="39" t="s">
        <v>1050</v>
      </c>
      <c r="C1603" s="40" t="s">
        <v>871</v>
      </c>
      <c r="D1603" s="75" t="s">
        <v>1269</v>
      </c>
      <c r="E1603" s="75" t="s">
        <v>1266</v>
      </c>
      <c r="F1603" s="75" t="s">
        <v>1268</v>
      </c>
      <c r="G1603" s="75" t="s">
        <v>1267</v>
      </c>
    </row>
    <row r="1604" spans="1:7" x14ac:dyDescent="0.2">
      <c r="A1604" s="40">
        <v>6621</v>
      </c>
      <c r="B1604" s="39" t="s">
        <v>1051</v>
      </c>
      <c r="C1604" s="40" t="s">
        <v>871</v>
      </c>
      <c r="D1604" s="75" t="s">
        <v>1269</v>
      </c>
      <c r="E1604" s="75" t="s">
        <v>1266</v>
      </c>
      <c r="F1604" s="75" t="s">
        <v>1268</v>
      </c>
      <c r="G1604" s="75" t="s">
        <v>1268</v>
      </c>
    </row>
    <row r="1605" spans="1:7" x14ac:dyDescent="0.2">
      <c r="A1605" s="40">
        <v>6622</v>
      </c>
      <c r="B1605" s="39" t="s">
        <v>1052</v>
      </c>
      <c r="C1605" s="40" t="s">
        <v>871</v>
      </c>
      <c r="D1605" s="75" t="s">
        <v>1269</v>
      </c>
      <c r="E1605" s="75" t="s">
        <v>1266</v>
      </c>
      <c r="F1605" s="75" t="s">
        <v>1268</v>
      </c>
      <c r="G1605" s="75" t="s">
        <v>1267</v>
      </c>
    </row>
    <row r="1606" spans="1:7" x14ac:dyDescent="0.2">
      <c r="A1606" s="40">
        <v>6623</v>
      </c>
      <c r="B1606" s="39" t="s">
        <v>1053</v>
      </c>
      <c r="C1606" s="40" t="s">
        <v>871</v>
      </c>
      <c r="D1606" s="75" t="s">
        <v>1269</v>
      </c>
      <c r="E1606" s="75" t="s">
        <v>1266</v>
      </c>
      <c r="F1606" s="75" t="s">
        <v>1268</v>
      </c>
      <c r="G1606" s="75" t="s">
        <v>1267</v>
      </c>
    </row>
    <row r="1607" spans="1:7" x14ac:dyDescent="0.2">
      <c r="A1607" s="40">
        <v>6631</v>
      </c>
      <c r="B1607" s="39" t="s">
        <v>1054</v>
      </c>
      <c r="C1607" s="40" t="s">
        <v>871</v>
      </c>
      <c r="D1607" s="75" t="s">
        <v>1269</v>
      </c>
      <c r="E1607" s="75" t="s">
        <v>1266</v>
      </c>
      <c r="F1607" s="75" t="s">
        <v>1268</v>
      </c>
      <c r="G1607" s="75" t="s">
        <v>1268</v>
      </c>
    </row>
    <row r="1608" spans="1:7" x14ac:dyDescent="0.2">
      <c r="A1608" s="40">
        <v>6632</v>
      </c>
      <c r="B1608" s="39" t="s">
        <v>1055</v>
      </c>
      <c r="C1608" s="40" t="s">
        <v>871</v>
      </c>
      <c r="D1608" s="75" t="s">
        <v>1269</v>
      </c>
      <c r="E1608" s="75" t="s">
        <v>1266</v>
      </c>
      <c r="F1608" s="75" t="s">
        <v>1268</v>
      </c>
      <c r="G1608" s="75" t="s">
        <v>1268</v>
      </c>
    </row>
    <row r="1609" spans="1:7" x14ac:dyDescent="0.2">
      <c r="A1609" s="40">
        <v>6633</v>
      </c>
      <c r="B1609" s="39" t="s">
        <v>1056</v>
      </c>
      <c r="C1609" s="40" t="s">
        <v>871</v>
      </c>
      <c r="D1609" s="75" t="s">
        <v>1269</v>
      </c>
      <c r="E1609" s="75" t="s">
        <v>1266</v>
      </c>
      <c r="F1609" s="75" t="s">
        <v>1268</v>
      </c>
      <c r="G1609" s="75" t="s">
        <v>1267</v>
      </c>
    </row>
    <row r="1610" spans="1:7" x14ac:dyDescent="0.2">
      <c r="A1610" s="40">
        <v>6642</v>
      </c>
      <c r="B1610" s="39" t="s">
        <v>1057</v>
      </c>
      <c r="C1610" s="40" t="s">
        <v>871</v>
      </c>
      <c r="D1610" s="75" t="s">
        <v>1269</v>
      </c>
      <c r="E1610" s="75" t="s">
        <v>1266</v>
      </c>
      <c r="F1610" s="75" t="s">
        <v>1268</v>
      </c>
      <c r="G1610" s="75" t="s">
        <v>1267</v>
      </c>
    </row>
    <row r="1611" spans="1:7" x14ac:dyDescent="0.2">
      <c r="A1611" s="40">
        <v>6644</v>
      </c>
      <c r="B1611" s="39" t="s">
        <v>1058</v>
      </c>
      <c r="C1611" s="40" t="s">
        <v>871</v>
      </c>
      <c r="D1611" s="75" t="s">
        <v>1269</v>
      </c>
      <c r="E1611" s="75" t="s">
        <v>1266</v>
      </c>
      <c r="F1611" s="75" t="s">
        <v>1268</v>
      </c>
      <c r="G1611" s="75" t="s">
        <v>1267</v>
      </c>
    </row>
    <row r="1612" spans="1:7" x14ac:dyDescent="0.2">
      <c r="A1612" s="40">
        <v>6645</v>
      </c>
      <c r="B1612" s="39" t="s">
        <v>1059</v>
      </c>
      <c r="C1612" s="40" t="s">
        <v>871</v>
      </c>
      <c r="D1612" s="75" t="s">
        <v>1269</v>
      </c>
      <c r="E1612" s="75" t="s">
        <v>1266</v>
      </c>
      <c r="F1612" s="75" t="s">
        <v>1268</v>
      </c>
      <c r="G1612" s="75" t="s">
        <v>1267</v>
      </c>
    </row>
    <row r="1613" spans="1:7" x14ac:dyDescent="0.2">
      <c r="A1613" s="40">
        <v>6646</v>
      </c>
      <c r="B1613" s="39" t="s">
        <v>1060</v>
      </c>
      <c r="C1613" s="40" t="s">
        <v>871</v>
      </c>
      <c r="D1613" s="75" t="s">
        <v>1269</v>
      </c>
      <c r="E1613" s="75" t="s">
        <v>1266</v>
      </c>
      <c r="F1613" s="75" t="s">
        <v>1268</v>
      </c>
      <c r="G1613" s="75" t="s">
        <v>1267</v>
      </c>
    </row>
    <row r="1614" spans="1:7" x14ac:dyDescent="0.2">
      <c r="A1614" s="40">
        <v>6647</v>
      </c>
      <c r="B1614" s="39" t="s">
        <v>1061</v>
      </c>
      <c r="C1614" s="40" t="s">
        <v>871</v>
      </c>
      <c r="D1614" s="75" t="s">
        <v>1269</v>
      </c>
      <c r="E1614" s="75" t="s">
        <v>1266</v>
      </c>
      <c r="F1614" s="75" t="s">
        <v>1268</v>
      </c>
      <c r="G1614" s="75" t="s">
        <v>1267</v>
      </c>
    </row>
    <row r="1615" spans="1:7" x14ac:dyDescent="0.2">
      <c r="A1615" s="40">
        <v>6650</v>
      </c>
      <c r="B1615" s="39" t="s">
        <v>1062</v>
      </c>
      <c r="C1615" s="40" t="s">
        <v>871</v>
      </c>
      <c r="D1615" s="75" t="s">
        <v>1269</v>
      </c>
      <c r="E1615" s="75" t="s">
        <v>1266</v>
      </c>
      <c r="F1615" s="75" t="s">
        <v>1268</v>
      </c>
      <c r="G1615" s="75" t="s">
        <v>1267</v>
      </c>
    </row>
    <row r="1616" spans="1:7" x14ac:dyDescent="0.2">
      <c r="A1616" s="40">
        <v>6651</v>
      </c>
      <c r="B1616" s="39" t="s">
        <v>1063</v>
      </c>
      <c r="C1616" s="40" t="s">
        <v>871</v>
      </c>
      <c r="D1616" s="75" t="s">
        <v>1269</v>
      </c>
      <c r="E1616" s="75" t="s">
        <v>1266</v>
      </c>
      <c r="F1616" s="75" t="s">
        <v>1268</v>
      </c>
      <c r="G1616" s="75" t="s">
        <v>1267</v>
      </c>
    </row>
    <row r="1617" spans="1:7" x14ac:dyDescent="0.2">
      <c r="A1617" s="40">
        <v>6652</v>
      </c>
      <c r="B1617" s="39" t="s">
        <v>1064</v>
      </c>
      <c r="C1617" s="40" t="s">
        <v>871</v>
      </c>
      <c r="D1617" s="75" t="s">
        <v>1269</v>
      </c>
      <c r="E1617" s="75" t="s">
        <v>1266</v>
      </c>
      <c r="F1617" s="75" t="s">
        <v>1268</v>
      </c>
      <c r="G1617" s="75" t="s">
        <v>1268</v>
      </c>
    </row>
    <row r="1618" spans="1:7" x14ac:dyDescent="0.2">
      <c r="A1618" s="40">
        <v>6653</v>
      </c>
      <c r="B1618" s="39" t="s">
        <v>1065</v>
      </c>
      <c r="C1618" s="40" t="s">
        <v>871</v>
      </c>
      <c r="D1618" s="75" t="s">
        <v>1269</v>
      </c>
      <c r="E1618" s="75" t="s">
        <v>1266</v>
      </c>
      <c r="F1618" s="75" t="s">
        <v>1268</v>
      </c>
      <c r="G1618" s="75" t="s">
        <v>1267</v>
      </c>
    </row>
    <row r="1619" spans="1:7" x14ac:dyDescent="0.2">
      <c r="A1619" s="40">
        <v>6654</v>
      </c>
      <c r="B1619" s="39" t="s">
        <v>1066</v>
      </c>
      <c r="C1619" s="40" t="s">
        <v>871</v>
      </c>
      <c r="D1619" s="75" t="s">
        <v>1269</v>
      </c>
      <c r="E1619" s="75" t="s">
        <v>1266</v>
      </c>
      <c r="F1619" s="75" t="s">
        <v>1268</v>
      </c>
      <c r="G1619" s="75" t="s">
        <v>1267</v>
      </c>
    </row>
    <row r="1620" spans="1:7" x14ac:dyDescent="0.2">
      <c r="A1620" s="40">
        <v>6655</v>
      </c>
      <c r="B1620" s="39" t="s">
        <v>390</v>
      </c>
      <c r="C1620" s="40" t="s">
        <v>871</v>
      </c>
      <c r="D1620" s="75" t="s">
        <v>1269</v>
      </c>
      <c r="E1620" s="75" t="s">
        <v>1266</v>
      </c>
      <c r="F1620" s="75" t="s">
        <v>1268</v>
      </c>
      <c r="G1620" s="75" t="s">
        <v>1267</v>
      </c>
    </row>
    <row r="1621" spans="1:7" x14ac:dyDescent="0.2">
      <c r="A1621" s="40">
        <v>6670</v>
      </c>
      <c r="B1621" s="39" t="s">
        <v>1067</v>
      </c>
      <c r="C1621" s="40" t="s">
        <v>871</v>
      </c>
      <c r="D1621" s="75" t="s">
        <v>1269</v>
      </c>
      <c r="E1621" s="75" t="s">
        <v>1266</v>
      </c>
      <c r="F1621" s="75" t="s">
        <v>1268</v>
      </c>
      <c r="G1621" s="75" t="s">
        <v>1267</v>
      </c>
    </row>
    <row r="1622" spans="1:7" x14ac:dyDescent="0.2">
      <c r="A1622" s="40">
        <v>6671</v>
      </c>
      <c r="B1622" s="39" t="s">
        <v>1068</v>
      </c>
      <c r="C1622" s="40" t="s">
        <v>871</v>
      </c>
      <c r="D1622" s="75" t="s">
        <v>1269</v>
      </c>
      <c r="E1622" s="75" t="s">
        <v>1266</v>
      </c>
      <c r="F1622" s="75" t="s">
        <v>1268</v>
      </c>
      <c r="G1622" s="75" t="s">
        <v>1268</v>
      </c>
    </row>
    <row r="1623" spans="1:7" x14ac:dyDescent="0.2">
      <c r="A1623" s="40">
        <v>6672</v>
      </c>
      <c r="B1623" s="39" t="s">
        <v>1069</v>
      </c>
      <c r="C1623" s="40" t="s">
        <v>871</v>
      </c>
      <c r="D1623" s="75" t="s">
        <v>1269</v>
      </c>
      <c r="E1623" s="75" t="s">
        <v>1266</v>
      </c>
      <c r="F1623" s="75" t="s">
        <v>1268</v>
      </c>
      <c r="G1623" s="75" t="s">
        <v>1267</v>
      </c>
    </row>
    <row r="1624" spans="1:7" x14ac:dyDescent="0.2">
      <c r="A1624" s="40">
        <v>6673</v>
      </c>
      <c r="B1624" s="39" t="s">
        <v>1070</v>
      </c>
      <c r="C1624" s="40" t="s">
        <v>871</v>
      </c>
      <c r="D1624" s="75" t="s">
        <v>1269</v>
      </c>
      <c r="E1624" s="75" t="s">
        <v>1266</v>
      </c>
      <c r="F1624" s="75" t="s">
        <v>1268</v>
      </c>
      <c r="G1624" s="75" t="s">
        <v>1267</v>
      </c>
    </row>
    <row r="1625" spans="1:7" x14ac:dyDescent="0.2">
      <c r="A1625" s="40">
        <v>6675</v>
      </c>
      <c r="B1625" s="39" t="s">
        <v>1071</v>
      </c>
      <c r="C1625" s="40" t="s">
        <v>871</v>
      </c>
      <c r="D1625" s="75" t="s">
        <v>1269</v>
      </c>
      <c r="E1625" s="75" t="s">
        <v>1266</v>
      </c>
      <c r="F1625" s="75" t="s">
        <v>1268</v>
      </c>
      <c r="G1625" s="75" t="s">
        <v>1268</v>
      </c>
    </row>
    <row r="1626" spans="1:7" x14ac:dyDescent="0.2">
      <c r="A1626" s="40">
        <v>6677</v>
      </c>
      <c r="B1626" s="39" t="s">
        <v>1072</v>
      </c>
      <c r="C1626" s="40" t="s">
        <v>871</v>
      </c>
      <c r="D1626" s="75" t="s">
        <v>1269</v>
      </c>
      <c r="E1626" s="75" t="s">
        <v>1266</v>
      </c>
      <c r="F1626" s="75" t="s">
        <v>1268</v>
      </c>
      <c r="G1626" s="75" t="s">
        <v>1267</v>
      </c>
    </row>
    <row r="1627" spans="1:7" x14ac:dyDescent="0.2">
      <c r="A1627" s="40">
        <v>6682</v>
      </c>
      <c r="B1627" s="39" t="s">
        <v>1073</v>
      </c>
      <c r="C1627" s="40" t="s">
        <v>871</v>
      </c>
      <c r="D1627" s="75" t="s">
        <v>1269</v>
      </c>
      <c r="E1627" s="75" t="s">
        <v>1266</v>
      </c>
      <c r="F1627" s="75" t="s">
        <v>1268</v>
      </c>
      <c r="G1627" s="75" t="s">
        <v>1268</v>
      </c>
    </row>
    <row r="1628" spans="1:7" x14ac:dyDescent="0.2">
      <c r="A1628" s="40">
        <v>6691</v>
      </c>
      <c r="B1628" s="39" t="s">
        <v>1074</v>
      </c>
      <c r="C1628" s="40" t="s">
        <v>871</v>
      </c>
      <c r="D1628" s="75" t="s">
        <v>1269</v>
      </c>
      <c r="E1628" s="75" t="s">
        <v>1266</v>
      </c>
      <c r="F1628" s="75" t="s">
        <v>1268</v>
      </c>
      <c r="G1628" s="75" t="s">
        <v>1268</v>
      </c>
    </row>
    <row r="1629" spans="1:7" x14ac:dyDescent="0.2">
      <c r="A1629" s="40">
        <v>6700</v>
      </c>
      <c r="B1629" s="39" t="s">
        <v>135</v>
      </c>
      <c r="C1629" s="40" t="s">
        <v>1075</v>
      </c>
      <c r="D1629" s="75" t="s">
        <v>1269</v>
      </c>
      <c r="E1629" s="75" t="s">
        <v>1266</v>
      </c>
      <c r="F1629" s="75" t="s">
        <v>1268</v>
      </c>
      <c r="G1629" s="75" t="s">
        <v>1268</v>
      </c>
    </row>
    <row r="1630" spans="1:7" x14ac:dyDescent="0.2">
      <c r="A1630" s="40">
        <v>6701</v>
      </c>
      <c r="B1630" s="39" t="s">
        <v>1076</v>
      </c>
      <c r="C1630" s="40" t="s">
        <v>1075</v>
      </c>
      <c r="D1630" s="75" t="s">
        <v>1271</v>
      </c>
      <c r="E1630" s="75" t="s">
        <v>1266</v>
      </c>
      <c r="F1630" s="75" t="s">
        <v>1267</v>
      </c>
      <c r="G1630" s="75" t="s">
        <v>1268</v>
      </c>
    </row>
    <row r="1631" spans="1:7" x14ac:dyDescent="0.2">
      <c r="A1631" s="40">
        <v>6706</v>
      </c>
      <c r="B1631" s="39" t="s">
        <v>1077</v>
      </c>
      <c r="C1631" s="40" t="s">
        <v>1075</v>
      </c>
      <c r="D1631" s="75" t="s">
        <v>1269</v>
      </c>
      <c r="E1631" s="75" t="s">
        <v>1266</v>
      </c>
      <c r="F1631" s="75" t="s">
        <v>1268</v>
      </c>
      <c r="G1631" s="75" t="s">
        <v>1268</v>
      </c>
    </row>
    <row r="1632" spans="1:7" x14ac:dyDescent="0.2">
      <c r="A1632" s="40">
        <v>6707</v>
      </c>
      <c r="B1632" s="39" t="s">
        <v>1078</v>
      </c>
      <c r="C1632" s="40" t="s">
        <v>1075</v>
      </c>
      <c r="D1632" s="75" t="s">
        <v>1269</v>
      </c>
      <c r="E1632" s="75" t="s">
        <v>1266</v>
      </c>
      <c r="F1632" s="75" t="s">
        <v>1268</v>
      </c>
      <c r="G1632" s="75" t="s">
        <v>1267</v>
      </c>
    </row>
    <row r="1633" spans="1:7" x14ac:dyDescent="0.2">
      <c r="A1633" s="40">
        <v>6708</v>
      </c>
      <c r="B1633" s="39" t="s">
        <v>617</v>
      </c>
      <c r="C1633" s="40" t="s">
        <v>1075</v>
      </c>
      <c r="D1633" s="75" t="s">
        <v>1269</v>
      </c>
      <c r="E1633" s="75" t="s">
        <v>1266</v>
      </c>
      <c r="F1633" s="75" t="s">
        <v>1268</v>
      </c>
      <c r="G1633" s="75" t="s">
        <v>1267</v>
      </c>
    </row>
    <row r="1634" spans="1:7" x14ac:dyDescent="0.2">
      <c r="A1634" s="40">
        <v>6710</v>
      </c>
      <c r="B1634" s="39" t="s">
        <v>1079</v>
      </c>
      <c r="C1634" s="40" t="s">
        <v>1075</v>
      </c>
      <c r="D1634" s="75" t="s">
        <v>1269</v>
      </c>
      <c r="E1634" s="75" t="s">
        <v>1266</v>
      </c>
      <c r="F1634" s="75" t="s">
        <v>1268</v>
      </c>
      <c r="G1634" s="75" t="s">
        <v>1268</v>
      </c>
    </row>
    <row r="1635" spans="1:7" x14ac:dyDescent="0.2">
      <c r="A1635" s="40">
        <v>6712</v>
      </c>
      <c r="B1635" s="39" t="s">
        <v>1080</v>
      </c>
      <c r="C1635" s="40" t="s">
        <v>1075</v>
      </c>
      <c r="D1635" s="75" t="s">
        <v>1269</v>
      </c>
      <c r="E1635" s="75" t="s">
        <v>1266</v>
      </c>
      <c r="F1635" s="75" t="s">
        <v>1268</v>
      </c>
      <c r="G1635" s="75" t="s">
        <v>1268</v>
      </c>
    </row>
    <row r="1636" spans="1:7" x14ac:dyDescent="0.2">
      <c r="A1636" s="40">
        <v>6713</v>
      </c>
      <c r="B1636" s="39" t="s">
        <v>1081</v>
      </c>
      <c r="C1636" s="40" t="s">
        <v>1075</v>
      </c>
      <c r="D1636" s="75" t="s">
        <v>1269</v>
      </c>
      <c r="E1636" s="75" t="s">
        <v>1266</v>
      </c>
      <c r="F1636" s="75" t="s">
        <v>1268</v>
      </c>
      <c r="G1636" s="75" t="s">
        <v>1268</v>
      </c>
    </row>
    <row r="1637" spans="1:7" x14ac:dyDescent="0.2">
      <c r="A1637" s="40">
        <v>6714</v>
      </c>
      <c r="B1637" s="39" t="s">
        <v>1082</v>
      </c>
      <c r="C1637" s="40" t="s">
        <v>1075</v>
      </c>
      <c r="D1637" s="75" t="s">
        <v>1269</v>
      </c>
      <c r="E1637" s="75" t="s">
        <v>1266</v>
      </c>
      <c r="F1637" s="75" t="s">
        <v>1268</v>
      </c>
      <c r="G1637" s="75" t="s">
        <v>1268</v>
      </c>
    </row>
    <row r="1638" spans="1:7" x14ac:dyDescent="0.2">
      <c r="A1638" s="40">
        <v>6719</v>
      </c>
      <c r="B1638" s="39" t="s">
        <v>1083</v>
      </c>
      <c r="C1638" s="40" t="s">
        <v>1075</v>
      </c>
      <c r="D1638" s="75" t="s">
        <v>1269</v>
      </c>
      <c r="E1638" s="75" t="s">
        <v>1266</v>
      </c>
      <c r="F1638" s="75" t="s">
        <v>1268</v>
      </c>
      <c r="G1638" s="75" t="s">
        <v>1267</v>
      </c>
    </row>
    <row r="1639" spans="1:7" x14ac:dyDescent="0.2">
      <c r="A1639" s="40">
        <v>6721</v>
      </c>
      <c r="B1639" s="39" t="s">
        <v>1084</v>
      </c>
      <c r="C1639" s="40" t="s">
        <v>1075</v>
      </c>
      <c r="D1639" s="75" t="s">
        <v>1269</v>
      </c>
      <c r="E1639" s="75" t="s">
        <v>1266</v>
      </c>
      <c r="F1639" s="75" t="s">
        <v>1268</v>
      </c>
      <c r="G1639" s="75" t="s">
        <v>1267</v>
      </c>
    </row>
    <row r="1640" spans="1:7" x14ac:dyDescent="0.2">
      <c r="A1640" s="40">
        <v>6722</v>
      </c>
      <c r="B1640" s="39" t="s">
        <v>1085</v>
      </c>
      <c r="C1640" s="40" t="s">
        <v>1075</v>
      </c>
      <c r="D1640" s="75" t="s">
        <v>1269</v>
      </c>
      <c r="E1640" s="75" t="s">
        <v>1266</v>
      </c>
      <c r="F1640" s="75" t="s">
        <v>1268</v>
      </c>
      <c r="G1640" s="75" t="s">
        <v>1267</v>
      </c>
    </row>
    <row r="1641" spans="1:7" x14ac:dyDescent="0.2">
      <c r="A1641" s="40">
        <v>6723</v>
      </c>
      <c r="B1641" s="39" t="s">
        <v>1086</v>
      </c>
      <c r="C1641" s="40" t="s">
        <v>1075</v>
      </c>
      <c r="D1641" s="75" t="s">
        <v>1269</v>
      </c>
      <c r="E1641" s="75" t="s">
        <v>1266</v>
      </c>
      <c r="F1641" s="75" t="s">
        <v>1268</v>
      </c>
      <c r="G1641" s="75" t="s">
        <v>1267</v>
      </c>
    </row>
    <row r="1642" spans="1:7" x14ac:dyDescent="0.2">
      <c r="A1642" s="40">
        <v>6731</v>
      </c>
      <c r="B1642" s="39" t="s">
        <v>1087</v>
      </c>
      <c r="C1642" s="40" t="s">
        <v>1075</v>
      </c>
      <c r="D1642" s="75" t="s">
        <v>1269</v>
      </c>
      <c r="E1642" s="75" t="s">
        <v>1266</v>
      </c>
      <c r="F1642" s="75" t="s">
        <v>1268</v>
      </c>
      <c r="G1642" s="75" t="s">
        <v>1268</v>
      </c>
    </row>
    <row r="1643" spans="1:7" x14ac:dyDescent="0.2">
      <c r="A1643" s="40">
        <v>6733</v>
      </c>
      <c r="B1643" s="39" t="s">
        <v>1088</v>
      </c>
      <c r="C1643" s="40" t="s">
        <v>1075</v>
      </c>
      <c r="D1643" s="75" t="s">
        <v>1269</v>
      </c>
      <c r="E1643" s="75" t="s">
        <v>1266</v>
      </c>
      <c r="F1643" s="75" t="s">
        <v>1268</v>
      </c>
      <c r="G1643" s="75" t="s">
        <v>1267</v>
      </c>
    </row>
    <row r="1644" spans="1:7" x14ac:dyDescent="0.2">
      <c r="A1644" s="40">
        <v>6741</v>
      </c>
      <c r="B1644" s="39" t="s">
        <v>1089</v>
      </c>
      <c r="C1644" s="40" t="s">
        <v>1075</v>
      </c>
      <c r="D1644" s="75" t="s">
        <v>1269</v>
      </c>
      <c r="E1644" s="75" t="s">
        <v>1266</v>
      </c>
      <c r="F1644" s="75" t="s">
        <v>1268</v>
      </c>
      <c r="G1644" s="75" t="s">
        <v>1267</v>
      </c>
    </row>
    <row r="1645" spans="1:7" x14ac:dyDescent="0.2">
      <c r="A1645" s="40">
        <v>6751</v>
      </c>
      <c r="B1645" s="39" t="s">
        <v>1090</v>
      </c>
      <c r="C1645" s="40" t="s">
        <v>1075</v>
      </c>
      <c r="D1645" s="75" t="s">
        <v>1269</v>
      </c>
      <c r="E1645" s="75" t="s">
        <v>1266</v>
      </c>
      <c r="F1645" s="75" t="s">
        <v>1268</v>
      </c>
      <c r="G1645" s="75" t="s">
        <v>1267</v>
      </c>
    </row>
    <row r="1646" spans="1:7" x14ac:dyDescent="0.2">
      <c r="A1646" s="40">
        <v>6752</v>
      </c>
      <c r="B1646" s="39" t="s">
        <v>2422</v>
      </c>
      <c r="C1646" s="40" t="s">
        <v>1075</v>
      </c>
      <c r="D1646" s="75" t="s">
        <v>1269</v>
      </c>
      <c r="E1646" s="75" t="s">
        <v>1266</v>
      </c>
      <c r="F1646" s="75" t="s">
        <v>1268</v>
      </c>
      <c r="G1646" s="75" t="s">
        <v>1268</v>
      </c>
    </row>
    <row r="1647" spans="1:7" x14ac:dyDescent="0.2">
      <c r="A1647" s="40">
        <v>6754</v>
      </c>
      <c r="B1647" s="39" t="s">
        <v>2423</v>
      </c>
      <c r="C1647" s="40" t="s">
        <v>1075</v>
      </c>
      <c r="D1647" s="75" t="s">
        <v>1269</v>
      </c>
      <c r="E1647" s="75" t="s">
        <v>1266</v>
      </c>
      <c r="F1647" s="75" t="s">
        <v>1268</v>
      </c>
      <c r="G1647" s="75" t="s">
        <v>1267</v>
      </c>
    </row>
    <row r="1648" spans="1:7" x14ac:dyDescent="0.2">
      <c r="A1648" s="40">
        <v>6762</v>
      </c>
      <c r="B1648" s="39" t="s">
        <v>2424</v>
      </c>
      <c r="C1648" s="40" t="s">
        <v>1075</v>
      </c>
      <c r="D1648" s="75" t="s">
        <v>1269</v>
      </c>
      <c r="E1648" s="75" t="s">
        <v>1266</v>
      </c>
      <c r="F1648" s="75" t="s">
        <v>1268</v>
      </c>
      <c r="G1648" s="75" t="s">
        <v>1267</v>
      </c>
    </row>
    <row r="1649" spans="1:7" x14ac:dyDescent="0.2">
      <c r="A1649" s="40">
        <v>6763</v>
      </c>
      <c r="B1649" s="39" t="s">
        <v>2425</v>
      </c>
      <c r="C1649" s="40" t="s">
        <v>1075</v>
      </c>
      <c r="D1649" s="75" t="s">
        <v>1269</v>
      </c>
      <c r="E1649" s="75" t="s">
        <v>1266</v>
      </c>
      <c r="F1649" s="75" t="s">
        <v>1268</v>
      </c>
      <c r="G1649" s="75" t="s">
        <v>1267</v>
      </c>
    </row>
    <row r="1650" spans="1:7" x14ac:dyDescent="0.2">
      <c r="A1650" s="40">
        <v>6764</v>
      </c>
      <c r="B1650" s="39" t="s">
        <v>2426</v>
      </c>
      <c r="C1650" s="40" t="s">
        <v>1075</v>
      </c>
      <c r="D1650" s="75" t="s">
        <v>1269</v>
      </c>
      <c r="E1650" s="75" t="s">
        <v>1266</v>
      </c>
      <c r="F1650" s="75" t="s">
        <v>1268</v>
      </c>
      <c r="G1650" s="75" t="s">
        <v>1268</v>
      </c>
    </row>
    <row r="1651" spans="1:7" x14ac:dyDescent="0.2">
      <c r="A1651" s="40">
        <v>6767</v>
      </c>
      <c r="B1651" s="39" t="s">
        <v>1922</v>
      </c>
      <c r="C1651" s="40" t="s">
        <v>1075</v>
      </c>
      <c r="D1651" s="75" t="s">
        <v>1269</v>
      </c>
      <c r="E1651" s="75" t="s">
        <v>1266</v>
      </c>
      <c r="F1651" s="75" t="s">
        <v>1268</v>
      </c>
      <c r="G1651" s="75" t="s">
        <v>1267</v>
      </c>
    </row>
    <row r="1652" spans="1:7" x14ac:dyDescent="0.2">
      <c r="A1652" s="40">
        <v>6771</v>
      </c>
      <c r="B1652" s="39" t="s">
        <v>2427</v>
      </c>
      <c r="C1652" s="40" t="s">
        <v>1075</v>
      </c>
      <c r="D1652" s="75" t="s">
        <v>1269</v>
      </c>
      <c r="E1652" s="75" t="s">
        <v>1266</v>
      </c>
      <c r="F1652" s="75" t="s">
        <v>1268</v>
      </c>
      <c r="G1652" s="75" t="s">
        <v>1267</v>
      </c>
    </row>
    <row r="1653" spans="1:7" x14ac:dyDescent="0.2">
      <c r="A1653" s="40">
        <v>6773</v>
      </c>
      <c r="B1653" s="39" t="s">
        <v>2428</v>
      </c>
      <c r="C1653" s="40" t="s">
        <v>1075</v>
      </c>
      <c r="D1653" s="75" t="s">
        <v>1269</v>
      </c>
      <c r="E1653" s="75" t="s">
        <v>1266</v>
      </c>
      <c r="F1653" s="75" t="s">
        <v>1268</v>
      </c>
      <c r="G1653" s="75" t="s">
        <v>1268</v>
      </c>
    </row>
    <row r="1654" spans="1:7" x14ac:dyDescent="0.2">
      <c r="A1654" s="40">
        <v>6774</v>
      </c>
      <c r="B1654" s="39" t="s">
        <v>2429</v>
      </c>
      <c r="C1654" s="40" t="s">
        <v>1075</v>
      </c>
      <c r="D1654" s="75" t="s">
        <v>1269</v>
      </c>
      <c r="E1654" s="75" t="s">
        <v>1266</v>
      </c>
      <c r="F1654" s="75" t="s">
        <v>1268</v>
      </c>
      <c r="G1654" s="75" t="s">
        <v>1268</v>
      </c>
    </row>
    <row r="1655" spans="1:7" x14ac:dyDescent="0.2">
      <c r="A1655" s="40">
        <v>6780</v>
      </c>
      <c r="B1655" s="39" t="s">
        <v>2430</v>
      </c>
      <c r="C1655" s="40" t="s">
        <v>1075</v>
      </c>
      <c r="D1655" s="75" t="s">
        <v>1269</v>
      </c>
      <c r="E1655" s="75" t="s">
        <v>1266</v>
      </c>
      <c r="F1655" s="75" t="s">
        <v>1268</v>
      </c>
      <c r="G1655" s="75" t="s">
        <v>1268</v>
      </c>
    </row>
    <row r="1656" spans="1:7" x14ac:dyDescent="0.2">
      <c r="A1656" s="40">
        <v>6787</v>
      </c>
      <c r="B1656" s="39" t="s">
        <v>166</v>
      </c>
      <c r="C1656" s="40" t="s">
        <v>1075</v>
      </c>
      <c r="D1656" s="75" t="s">
        <v>1269</v>
      </c>
      <c r="E1656" s="75" t="s">
        <v>1266</v>
      </c>
      <c r="F1656" s="75" t="s">
        <v>1268</v>
      </c>
      <c r="G1656" s="75" t="s">
        <v>1267</v>
      </c>
    </row>
    <row r="1657" spans="1:7" x14ac:dyDescent="0.2">
      <c r="A1657" s="40">
        <v>6791</v>
      </c>
      <c r="B1657" s="39" t="s">
        <v>2431</v>
      </c>
      <c r="C1657" s="40" t="s">
        <v>1075</v>
      </c>
      <c r="D1657" s="75" t="s">
        <v>1269</v>
      </c>
      <c r="E1657" s="75" t="s">
        <v>1266</v>
      </c>
      <c r="F1657" s="75" t="s">
        <v>1268</v>
      </c>
      <c r="G1657" s="75" t="s">
        <v>1268</v>
      </c>
    </row>
    <row r="1658" spans="1:7" x14ac:dyDescent="0.2">
      <c r="A1658" s="40">
        <v>6793</v>
      </c>
      <c r="B1658" s="39" t="s">
        <v>2432</v>
      </c>
      <c r="C1658" s="40" t="s">
        <v>1075</v>
      </c>
      <c r="D1658" s="75" t="s">
        <v>1269</v>
      </c>
      <c r="E1658" s="75" t="s">
        <v>1266</v>
      </c>
      <c r="F1658" s="75" t="s">
        <v>1268</v>
      </c>
      <c r="G1658" s="75" t="s">
        <v>1268</v>
      </c>
    </row>
    <row r="1659" spans="1:7" x14ac:dyDescent="0.2">
      <c r="A1659" s="40">
        <v>6794</v>
      </c>
      <c r="B1659" s="39" t="s">
        <v>2433</v>
      </c>
      <c r="C1659" s="40" t="s">
        <v>1075</v>
      </c>
      <c r="D1659" s="75" t="s">
        <v>1269</v>
      </c>
      <c r="E1659" s="75" t="s">
        <v>1266</v>
      </c>
      <c r="F1659" s="75" t="s">
        <v>1268</v>
      </c>
      <c r="G1659" s="75" t="s">
        <v>1267</v>
      </c>
    </row>
    <row r="1660" spans="1:7" x14ac:dyDescent="0.2">
      <c r="A1660" s="40">
        <v>6800</v>
      </c>
      <c r="B1660" s="39" t="s">
        <v>152</v>
      </c>
      <c r="C1660" s="40" t="s">
        <v>1075</v>
      </c>
      <c r="D1660" s="75" t="s">
        <v>1269</v>
      </c>
      <c r="E1660" s="75" t="s">
        <v>1266</v>
      </c>
      <c r="F1660" s="75" t="s">
        <v>1268</v>
      </c>
      <c r="G1660" s="75" t="s">
        <v>1268</v>
      </c>
    </row>
    <row r="1661" spans="1:7" x14ac:dyDescent="0.2">
      <c r="A1661" s="40">
        <v>6801</v>
      </c>
      <c r="B1661" s="39" t="s">
        <v>2434</v>
      </c>
      <c r="C1661" s="40" t="s">
        <v>1075</v>
      </c>
      <c r="D1661" s="75" t="s">
        <v>1271</v>
      </c>
      <c r="E1661" s="75" t="s">
        <v>1266</v>
      </c>
      <c r="F1661" s="75" t="s">
        <v>1267</v>
      </c>
      <c r="G1661" s="75" t="s">
        <v>1268</v>
      </c>
    </row>
    <row r="1662" spans="1:7" x14ac:dyDescent="0.2">
      <c r="A1662" s="40">
        <v>6803</v>
      </c>
      <c r="B1662" s="39" t="s">
        <v>152</v>
      </c>
      <c r="C1662" s="40" t="s">
        <v>1075</v>
      </c>
      <c r="D1662" s="75" t="s">
        <v>1271</v>
      </c>
      <c r="E1662" s="75" t="s">
        <v>1266</v>
      </c>
      <c r="F1662" s="75" t="s">
        <v>1267</v>
      </c>
      <c r="G1662" s="75" t="s">
        <v>1268</v>
      </c>
    </row>
    <row r="1663" spans="1:7" x14ac:dyDescent="0.2">
      <c r="A1663" s="40">
        <v>6804</v>
      </c>
      <c r="B1663" s="39" t="s">
        <v>2435</v>
      </c>
      <c r="C1663" s="40" t="s">
        <v>1075</v>
      </c>
      <c r="D1663" s="75" t="s">
        <v>1271</v>
      </c>
      <c r="E1663" s="75" t="s">
        <v>1266</v>
      </c>
      <c r="F1663" s="75" t="s">
        <v>1267</v>
      </c>
      <c r="G1663" s="75" t="s">
        <v>1268</v>
      </c>
    </row>
    <row r="1664" spans="1:7" x14ac:dyDescent="0.2">
      <c r="A1664" s="40">
        <v>6805</v>
      </c>
      <c r="B1664" s="39" t="s">
        <v>2436</v>
      </c>
      <c r="C1664" s="40" t="s">
        <v>1075</v>
      </c>
      <c r="D1664" s="75" t="s">
        <v>1271</v>
      </c>
      <c r="E1664" s="75" t="s">
        <v>1266</v>
      </c>
      <c r="F1664" s="75" t="s">
        <v>1267</v>
      </c>
      <c r="G1664" s="75" t="s">
        <v>1268</v>
      </c>
    </row>
    <row r="1665" spans="1:7" x14ac:dyDescent="0.2">
      <c r="A1665" s="40">
        <v>6806</v>
      </c>
      <c r="B1665" s="39" t="s">
        <v>2437</v>
      </c>
      <c r="C1665" s="40" t="s">
        <v>1075</v>
      </c>
      <c r="D1665" s="75" t="s">
        <v>1271</v>
      </c>
      <c r="E1665" s="75" t="s">
        <v>1266</v>
      </c>
      <c r="F1665" s="75" t="s">
        <v>1267</v>
      </c>
      <c r="G1665" s="75" t="s">
        <v>1268</v>
      </c>
    </row>
    <row r="1666" spans="1:7" x14ac:dyDescent="0.2">
      <c r="A1666" s="40">
        <v>6807</v>
      </c>
      <c r="B1666" s="39" t="s">
        <v>2439</v>
      </c>
      <c r="C1666" s="40" t="s">
        <v>1075</v>
      </c>
      <c r="D1666" s="75" t="s">
        <v>1271</v>
      </c>
      <c r="E1666" s="75" t="s">
        <v>1266</v>
      </c>
      <c r="F1666" s="75" t="s">
        <v>1267</v>
      </c>
      <c r="G1666" s="75" t="s">
        <v>1268</v>
      </c>
    </row>
    <row r="1667" spans="1:7" x14ac:dyDescent="0.2">
      <c r="A1667" s="40">
        <v>6811</v>
      </c>
      <c r="B1667" s="39" t="s">
        <v>2440</v>
      </c>
      <c r="C1667" s="40" t="s">
        <v>1075</v>
      </c>
      <c r="D1667" s="75" t="s">
        <v>1269</v>
      </c>
      <c r="E1667" s="75" t="s">
        <v>1266</v>
      </c>
      <c r="F1667" s="75" t="s">
        <v>1268</v>
      </c>
      <c r="G1667" s="75" t="s">
        <v>1267</v>
      </c>
    </row>
    <row r="1668" spans="1:7" x14ac:dyDescent="0.2">
      <c r="A1668" s="40">
        <v>6812</v>
      </c>
      <c r="B1668" s="39" t="s">
        <v>2441</v>
      </c>
      <c r="C1668" s="40" t="s">
        <v>1075</v>
      </c>
      <c r="D1668" s="75" t="s">
        <v>1269</v>
      </c>
      <c r="E1668" s="75" t="s">
        <v>1266</v>
      </c>
      <c r="F1668" s="75" t="s">
        <v>1268</v>
      </c>
      <c r="G1668" s="75" t="s">
        <v>1267</v>
      </c>
    </row>
    <row r="1669" spans="1:7" x14ac:dyDescent="0.2">
      <c r="A1669" s="40">
        <v>6820</v>
      </c>
      <c r="B1669" s="39" t="s">
        <v>2442</v>
      </c>
      <c r="C1669" s="40" t="s">
        <v>1075</v>
      </c>
      <c r="D1669" s="75" t="s">
        <v>1269</v>
      </c>
      <c r="E1669" s="75" t="s">
        <v>1266</v>
      </c>
      <c r="F1669" s="75" t="s">
        <v>1268</v>
      </c>
      <c r="G1669" s="75" t="s">
        <v>1268</v>
      </c>
    </row>
    <row r="1670" spans="1:7" x14ac:dyDescent="0.2">
      <c r="A1670" s="40">
        <v>6822</v>
      </c>
      <c r="B1670" s="39" t="s">
        <v>2443</v>
      </c>
      <c r="C1670" s="40" t="s">
        <v>1075</v>
      </c>
      <c r="D1670" s="75" t="s">
        <v>1269</v>
      </c>
      <c r="E1670" s="75" t="s">
        <v>1266</v>
      </c>
      <c r="F1670" s="75" t="s">
        <v>1268</v>
      </c>
      <c r="G1670" s="75" t="s">
        <v>1268</v>
      </c>
    </row>
    <row r="1671" spans="1:7" x14ac:dyDescent="0.2">
      <c r="A1671" s="40">
        <v>6824</v>
      </c>
      <c r="B1671" s="39" t="s">
        <v>2444</v>
      </c>
      <c r="C1671" s="40" t="s">
        <v>1075</v>
      </c>
      <c r="D1671" s="75" t="s">
        <v>1269</v>
      </c>
      <c r="E1671" s="75" t="s">
        <v>1266</v>
      </c>
      <c r="F1671" s="75" t="s">
        <v>1268</v>
      </c>
      <c r="G1671" s="75" t="s">
        <v>1267</v>
      </c>
    </row>
    <row r="1672" spans="1:7" x14ac:dyDescent="0.2">
      <c r="A1672" s="40">
        <v>6830</v>
      </c>
      <c r="B1672" s="39" t="s">
        <v>2445</v>
      </c>
      <c r="C1672" s="40" t="s">
        <v>1075</v>
      </c>
      <c r="D1672" s="75" t="s">
        <v>1269</v>
      </c>
      <c r="E1672" s="75" t="s">
        <v>1266</v>
      </c>
      <c r="F1672" s="75" t="s">
        <v>1268</v>
      </c>
      <c r="G1672" s="75" t="s">
        <v>1268</v>
      </c>
    </row>
    <row r="1673" spans="1:7" x14ac:dyDescent="0.2">
      <c r="A1673" s="40">
        <v>6832</v>
      </c>
      <c r="B1673" s="39" t="s">
        <v>2446</v>
      </c>
      <c r="C1673" s="40" t="s">
        <v>1075</v>
      </c>
      <c r="D1673" s="75" t="s">
        <v>1269</v>
      </c>
      <c r="E1673" s="75" t="s">
        <v>1266</v>
      </c>
      <c r="F1673" s="75" t="s">
        <v>1268</v>
      </c>
      <c r="G1673" s="75" t="s">
        <v>1268</v>
      </c>
    </row>
    <row r="1674" spans="1:7" x14ac:dyDescent="0.2">
      <c r="A1674" s="40">
        <v>6833</v>
      </c>
      <c r="B1674" s="39" t="s">
        <v>2447</v>
      </c>
      <c r="C1674" s="40" t="s">
        <v>1075</v>
      </c>
      <c r="D1674" s="75" t="s">
        <v>1269</v>
      </c>
      <c r="E1674" s="75" t="s">
        <v>1266</v>
      </c>
      <c r="F1674" s="75" t="s">
        <v>1268</v>
      </c>
      <c r="G1674" s="75" t="s">
        <v>1268</v>
      </c>
    </row>
    <row r="1675" spans="1:7" x14ac:dyDescent="0.2">
      <c r="A1675" s="40">
        <v>6834</v>
      </c>
      <c r="B1675" s="39" t="s">
        <v>2448</v>
      </c>
      <c r="C1675" s="40" t="s">
        <v>1075</v>
      </c>
      <c r="D1675" s="75" t="s">
        <v>1269</v>
      </c>
      <c r="E1675" s="75" t="s">
        <v>1266</v>
      </c>
      <c r="F1675" s="75" t="s">
        <v>1268</v>
      </c>
      <c r="G1675" s="75" t="s">
        <v>1267</v>
      </c>
    </row>
    <row r="1676" spans="1:7" x14ac:dyDescent="0.2">
      <c r="A1676" s="40">
        <v>6836</v>
      </c>
      <c r="B1676" s="39" t="s">
        <v>2449</v>
      </c>
      <c r="C1676" s="40" t="s">
        <v>1075</v>
      </c>
      <c r="D1676" s="75" t="s">
        <v>1269</v>
      </c>
      <c r="E1676" s="75" t="s">
        <v>1266</v>
      </c>
      <c r="F1676" s="75" t="s">
        <v>1268</v>
      </c>
      <c r="G1676" s="75" t="s">
        <v>1267</v>
      </c>
    </row>
    <row r="1677" spans="1:7" x14ac:dyDescent="0.2">
      <c r="A1677" s="40">
        <v>6840</v>
      </c>
      <c r="B1677" s="39" t="s">
        <v>2450</v>
      </c>
      <c r="C1677" s="40" t="s">
        <v>1075</v>
      </c>
      <c r="D1677" s="75" t="s">
        <v>1269</v>
      </c>
      <c r="E1677" s="75" t="s">
        <v>1266</v>
      </c>
      <c r="F1677" s="75" t="s">
        <v>1268</v>
      </c>
      <c r="G1677" s="75" t="s">
        <v>1268</v>
      </c>
    </row>
    <row r="1678" spans="1:7" x14ac:dyDescent="0.2">
      <c r="A1678" s="40">
        <v>6841</v>
      </c>
      <c r="B1678" s="39" t="s">
        <v>2451</v>
      </c>
      <c r="C1678" s="40" t="s">
        <v>1075</v>
      </c>
      <c r="D1678" s="75" t="s">
        <v>1269</v>
      </c>
      <c r="E1678" s="75" t="s">
        <v>1266</v>
      </c>
      <c r="F1678" s="75" t="s">
        <v>1268</v>
      </c>
      <c r="G1678" s="75" t="s">
        <v>1268</v>
      </c>
    </row>
    <row r="1679" spans="1:7" x14ac:dyDescent="0.2">
      <c r="A1679" s="40">
        <v>6842</v>
      </c>
      <c r="B1679" s="39" t="s">
        <v>2452</v>
      </c>
      <c r="C1679" s="40" t="s">
        <v>1075</v>
      </c>
      <c r="D1679" s="75" t="s">
        <v>1269</v>
      </c>
      <c r="E1679" s="75" t="s">
        <v>1266</v>
      </c>
      <c r="F1679" s="75" t="s">
        <v>1268</v>
      </c>
      <c r="G1679" s="75" t="s">
        <v>1268</v>
      </c>
    </row>
    <row r="1680" spans="1:7" x14ac:dyDescent="0.2">
      <c r="A1680" s="40">
        <v>6844</v>
      </c>
      <c r="B1680" s="39" t="s">
        <v>2453</v>
      </c>
      <c r="C1680" s="40" t="s">
        <v>1075</v>
      </c>
      <c r="D1680" s="75" t="s">
        <v>1269</v>
      </c>
      <c r="E1680" s="75" t="s">
        <v>1266</v>
      </c>
      <c r="F1680" s="75" t="s">
        <v>1268</v>
      </c>
      <c r="G1680" s="75" t="s">
        <v>1268</v>
      </c>
    </row>
    <row r="1681" spans="1:7" x14ac:dyDescent="0.2">
      <c r="A1681" s="40">
        <v>6845</v>
      </c>
      <c r="B1681" s="39" t="s">
        <v>2454</v>
      </c>
      <c r="C1681" s="40" t="s">
        <v>1075</v>
      </c>
      <c r="D1681" s="75" t="s">
        <v>1269</v>
      </c>
      <c r="E1681" s="75" t="s">
        <v>1266</v>
      </c>
      <c r="F1681" s="75" t="s">
        <v>1268</v>
      </c>
      <c r="G1681" s="75" t="s">
        <v>1268</v>
      </c>
    </row>
    <row r="1682" spans="1:7" x14ac:dyDescent="0.2">
      <c r="A1682" s="40">
        <v>6850</v>
      </c>
      <c r="B1682" s="39" t="s">
        <v>2455</v>
      </c>
      <c r="C1682" s="40" t="s">
        <v>1075</v>
      </c>
      <c r="D1682" s="75" t="s">
        <v>1269</v>
      </c>
      <c r="E1682" s="75" t="s">
        <v>1266</v>
      </c>
      <c r="F1682" s="75" t="s">
        <v>1268</v>
      </c>
      <c r="G1682" s="75" t="s">
        <v>1268</v>
      </c>
    </row>
    <row r="1683" spans="1:7" x14ac:dyDescent="0.2">
      <c r="A1683" s="40">
        <v>6851</v>
      </c>
      <c r="B1683" s="39" t="s">
        <v>2456</v>
      </c>
      <c r="C1683" s="40" t="s">
        <v>1075</v>
      </c>
      <c r="D1683" s="75" t="s">
        <v>1271</v>
      </c>
      <c r="E1683" s="75" t="s">
        <v>1266</v>
      </c>
      <c r="F1683" s="75" t="s">
        <v>1267</v>
      </c>
      <c r="G1683" s="75" t="s">
        <v>1268</v>
      </c>
    </row>
    <row r="1684" spans="1:7" x14ac:dyDescent="0.2">
      <c r="A1684" s="40">
        <v>6852</v>
      </c>
      <c r="B1684" s="39" t="s">
        <v>2457</v>
      </c>
      <c r="C1684" s="40" t="s">
        <v>1075</v>
      </c>
      <c r="D1684" s="75" t="s">
        <v>1271</v>
      </c>
      <c r="E1684" s="75" t="s">
        <v>1266</v>
      </c>
      <c r="F1684" s="75" t="s">
        <v>1267</v>
      </c>
      <c r="G1684" s="75" t="s">
        <v>1268</v>
      </c>
    </row>
    <row r="1685" spans="1:7" x14ac:dyDescent="0.2">
      <c r="A1685" s="40">
        <v>6853</v>
      </c>
      <c r="B1685" s="39" t="s">
        <v>2458</v>
      </c>
      <c r="C1685" s="40" t="s">
        <v>1075</v>
      </c>
      <c r="D1685" s="75" t="s">
        <v>1271</v>
      </c>
      <c r="E1685" s="75" t="s">
        <v>1266</v>
      </c>
      <c r="F1685" s="75" t="s">
        <v>1267</v>
      </c>
      <c r="G1685" s="75" t="s">
        <v>1268</v>
      </c>
    </row>
    <row r="1686" spans="1:7" x14ac:dyDescent="0.2">
      <c r="A1686" s="40">
        <v>6854</v>
      </c>
      <c r="B1686" s="39" t="s">
        <v>2459</v>
      </c>
      <c r="C1686" s="40" t="s">
        <v>1075</v>
      </c>
      <c r="D1686" s="75" t="s">
        <v>1271</v>
      </c>
      <c r="E1686" s="75" t="s">
        <v>1266</v>
      </c>
      <c r="F1686" s="75" t="s">
        <v>1267</v>
      </c>
      <c r="G1686" s="75" t="s">
        <v>1268</v>
      </c>
    </row>
    <row r="1687" spans="1:7" x14ac:dyDescent="0.2">
      <c r="A1687" s="40">
        <v>6857</v>
      </c>
      <c r="B1687" s="39" t="s">
        <v>2460</v>
      </c>
      <c r="C1687" s="40" t="s">
        <v>1075</v>
      </c>
      <c r="D1687" s="75" t="s">
        <v>1271</v>
      </c>
      <c r="E1687" s="75" t="s">
        <v>1266</v>
      </c>
      <c r="F1687" s="75" t="s">
        <v>1267</v>
      </c>
      <c r="G1687" s="75" t="s">
        <v>1268</v>
      </c>
    </row>
    <row r="1688" spans="1:7" x14ac:dyDescent="0.2">
      <c r="A1688" s="40">
        <v>6858</v>
      </c>
      <c r="B1688" s="39" t="s">
        <v>2461</v>
      </c>
      <c r="C1688" s="40" t="s">
        <v>1075</v>
      </c>
      <c r="D1688" s="75" t="s">
        <v>1269</v>
      </c>
      <c r="E1688" s="75" t="s">
        <v>1266</v>
      </c>
      <c r="F1688" s="75" t="s">
        <v>1268</v>
      </c>
      <c r="G1688" s="75" t="s">
        <v>1268</v>
      </c>
    </row>
    <row r="1689" spans="1:7" x14ac:dyDescent="0.2">
      <c r="A1689" s="40">
        <v>6861</v>
      </c>
      <c r="B1689" s="39" t="s">
        <v>2462</v>
      </c>
      <c r="C1689" s="40" t="s">
        <v>1075</v>
      </c>
      <c r="D1689" s="75" t="s">
        <v>1269</v>
      </c>
      <c r="E1689" s="75" t="s">
        <v>1266</v>
      </c>
      <c r="F1689" s="75" t="s">
        <v>1268</v>
      </c>
      <c r="G1689" s="75" t="s">
        <v>1268</v>
      </c>
    </row>
    <row r="1690" spans="1:7" x14ac:dyDescent="0.2">
      <c r="A1690" s="40">
        <v>6863</v>
      </c>
      <c r="B1690" s="39" t="s">
        <v>2463</v>
      </c>
      <c r="C1690" s="40" t="s">
        <v>1075</v>
      </c>
      <c r="D1690" s="75" t="s">
        <v>1269</v>
      </c>
      <c r="E1690" s="75" t="s">
        <v>1266</v>
      </c>
      <c r="F1690" s="75" t="s">
        <v>1268</v>
      </c>
      <c r="G1690" s="75" t="s">
        <v>1268</v>
      </c>
    </row>
    <row r="1691" spans="1:7" x14ac:dyDescent="0.2">
      <c r="A1691" s="40">
        <v>6866</v>
      </c>
      <c r="B1691" s="39" t="s">
        <v>2464</v>
      </c>
      <c r="C1691" s="40" t="s">
        <v>1075</v>
      </c>
      <c r="D1691" s="75" t="s">
        <v>1269</v>
      </c>
      <c r="E1691" s="75" t="s">
        <v>1266</v>
      </c>
      <c r="F1691" s="75" t="s">
        <v>1268</v>
      </c>
      <c r="G1691" s="75" t="s">
        <v>1267</v>
      </c>
    </row>
    <row r="1692" spans="1:7" x14ac:dyDescent="0.2">
      <c r="A1692" s="40">
        <v>6867</v>
      </c>
      <c r="B1692" s="39" t="s">
        <v>2465</v>
      </c>
      <c r="C1692" s="40" t="s">
        <v>1075</v>
      </c>
      <c r="D1692" s="75" t="s">
        <v>1269</v>
      </c>
      <c r="E1692" s="75" t="s">
        <v>1266</v>
      </c>
      <c r="F1692" s="75" t="s">
        <v>1268</v>
      </c>
      <c r="G1692" s="75" t="s">
        <v>1267</v>
      </c>
    </row>
    <row r="1693" spans="1:7" x14ac:dyDescent="0.2">
      <c r="A1693" s="40">
        <v>6870</v>
      </c>
      <c r="B1693" s="39" t="s">
        <v>2466</v>
      </c>
      <c r="C1693" s="40" t="s">
        <v>1075</v>
      </c>
      <c r="D1693" s="75" t="s">
        <v>1269</v>
      </c>
      <c r="E1693" s="75" t="s">
        <v>1266</v>
      </c>
      <c r="F1693" s="75" t="s">
        <v>1268</v>
      </c>
      <c r="G1693" s="75" t="s">
        <v>1268</v>
      </c>
    </row>
    <row r="1694" spans="1:7" x14ac:dyDescent="0.2">
      <c r="A1694" s="40">
        <v>6874</v>
      </c>
      <c r="B1694" s="39" t="s">
        <v>2467</v>
      </c>
      <c r="C1694" s="40" t="s">
        <v>1075</v>
      </c>
      <c r="D1694" s="75" t="s">
        <v>1269</v>
      </c>
      <c r="E1694" s="75" t="s">
        <v>1266</v>
      </c>
      <c r="F1694" s="75" t="s">
        <v>1268</v>
      </c>
      <c r="G1694" s="75" t="s">
        <v>1267</v>
      </c>
    </row>
    <row r="1695" spans="1:7" x14ac:dyDescent="0.2">
      <c r="A1695" s="40">
        <v>6881</v>
      </c>
      <c r="B1695" s="39" t="s">
        <v>2468</v>
      </c>
      <c r="C1695" s="40" t="s">
        <v>1075</v>
      </c>
      <c r="D1695" s="75" t="s">
        <v>1269</v>
      </c>
      <c r="E1695" s="75" t="s">
        <v>1266</v>
      </c>
      <c r="F1695" s="75" t="s">
        <v>1268</v>
      </c>
      <c r="G1695" s="75" t="s">
        <v>1268</v>
      </c>
    </row>
    <row r="1696" spans="1:7" x14ac:dyDescent="0.2">
      <c r="A1696" s="40">
        <v>6882</v>
      </c>
      <c r="B1696" s="39" t="s">
        <v>2469</v>
      </c>
      <c r="C1696" s="40" t="s">
        <v>1075</v>
      </c>
      <c r="D1696" s="75" t="s">
        <v>1269</v>
      </c>
      <c r="E1696" s="75" t="s">
        <v>1266</v>
      </c>
      <c r="F1696" s="75" t="s">
        <v>1268</v>
      </c>
      <c r="G1696" s="75" t="s">
        <v>1267</v>
      </c>
    </row>
    <row r="1697" spans="1:7" x14ac:dyDescent="0.2">
      <c r="A1697" s="40">
        <v>6883</v>
      </c>
      <c r="B1697" s="39" t="s">
        <v>2470</v>
      </c>
      <c r="C1697" s="40" t="s">
        <v>1075</v>
      </c>
      <c r="D1697" s="75" t="s">
        <v>1269</v>
      </c>
      <c r="E1697" s="75" t="s">
        <v>1266</v>
      </c>
      <c r="F1697" s="75" t="s">
        <v>1268</v>
      </c>
      <c r="G1697" s="75" t="s">
        <v>1268</v>
      </c>
    </row>
    <row r="1698" spans="1:7" x14ac:dyDescent="0.2">
      <c r="A1698" s="40">
        <v>6884</v>
      </c>
      <c r="B1698" s="39" t="s">
        <v>2471</v>
      </c>
      <c r="C1698" s="40" t="s">
        <v>1075</v>
      </c>
      <c r="D1698" s="75" t="s">
        <v>1269</v>
      </c>
      <c r="E1698" s="75" t="s">
        <v>1266</v>
      </c>
      <c r="F1698" s="75" t="s">
        <v>1268</v>
      </c>
      <c r="G1698" s="75" t="s">
        <v>1267</v>
      </c>
    </row>
    <row r="1699" spans="1:7" x14ac:dyDescent="0.2">
      <c r="A1699" s="40">
        <v>6886</v>
      </c>
      <c r="B1699" s="39" t="s">
        <v>2472</v>
      </c>
      <c r="C1699" s="40" t="s">
        <v>1075</v>
      </c>
      <c r="D1699" s="75" t="s">
        <v>1269</v>
      </c>
      <c r="E1699" s="75" t="s">
        <v>1266</v>
      </c>
      <c r="F1699" s="75" t="s">
        <v>1268</v>
      </c>
      <c r="G1699" s="75" t="s">
        <v>1267</v>
      </c>
    </row>
    <row r="1700" spans="1:7" x14ac:dyDescent="0.2">
      <c r="A1700" s="40">
        <v>6888</v>
      </c>
      <c r="B1700" s="39" t="s">
        <v>2473</v>
      </c>
      <c r="C1700" s="40" t="s">
        <v>1075</v>
      </c>
      <c r="D1700" s="75" t="s">
        <v>1269</v>
      </c>
      <c r="E1700" s="75" t="s">
        <v>1266</v>
      </c>
      <c r="F1700" s="75" t="s">
        <v>1268</v>
      </c>
      <c r="G1700" s="75" t="s">
        <v>1267</v>
      </c>
    </row>
    <row r="1701" spans="1:7" x14ac:dyDescent="0.2">
      <c r="A1701" s="40">
        <v>6890</v>
      </c>
      <c r="B1701" s="39" t="s">
        <v>2474</v>
      </c>
      <c r="C1701" s="40" t="s">
        <v>1075</v>
      </c>
      <c r="D1701" s="75" t="s">
        <v>1269</v>
      </c>
      <c r="E1701" s="75" t="s">
        <v>1266</v>
      </c>
      <c r="F1701" s="75" t="s">
        <v>1268</v>
      </c>
      <c r="G1701" s="75" t="s">
        <v>1268</v>
      </c>
    </row>
    <row r="1702" spans="1:7" x14ac:dyDescent="0.2">
      <c r="A1702" s="40">
        <v>6893</v>
      </c>
      <c r="B1702" s="39" t="s">
        <v>2475</v>
      </c>
      <c r="C1702" s="40" t="s">
        <v>1075</v>
      </c>
      <c r="D1702" s="75" t="s">
        <v>1271</v>
      </c>
      <c r="E1702" s="75" t="s">
        <v>1266</v>
      </c>
      <c r="F1702" s="75" t="s">
        <v>1267</v>
      </c>
      <c r="G1702" s="75" t="s">
        <v>1268</v>
      </c>
    </row>
    <row r="1703" spans="1:7" x14ac:dyDescent="0.2">
      <c r="A1703" s="40">
        <v>6900</v>
      </c>
      <c r="B1703" s="39" t="s">
        <v>2476</v>
      </c>
      <c r="C1703" s="40" t="s">
        <v>1075</v>
      </c>
      <c r="D1703" s="75" t="s">
        <v>1269</v>
      </c>
      <c r="E1703" s="75" t="s">
        <v>1266</v>
      </c>
      <c r="F1703" s="75" t="s">
        <v>1268</v>
      </c>
      <c r="G1703" s="75" t="s">
        <v>1268</v>
      </c>
    </row>
    <row r="1704" spans="1:7" x14ac:dyDescent="0.2">
      <c r="A1704" s="40">
        <v>6901</v>
      </c>
      <c r="B1704" s="39" t="s">
        <v>2477</v>
      </c>
      <c r="C1704" s="40" t="s">
        <v>1075</v>
      </c>
      <c r="D1704" s="75" t="s">
        <v>1271</v>
      </c>
      <c r="E1704" s="75" t="s">
        <v>1266</v>
      </c>
      <c r="F1704" s="75" t="s">
        <v>1267</v>
      </c>
      <c r="G1704" s="75" t="s">
        <v>1268</v>
      </c>
    </row>
    <row r="1705" spans="1:7" x14ac:dyDescent="0.2">
      <c r="A1705" s="40">
        <v>6903</v>
      </c>
      <c r="B1705" s="39" t="s">
        <v>2478</v>
      </c>
      <c r="C1705" s="40" t="s">
        <v>1075</v>
      </c>
      <c r="D1705" s="75" t="s">
        <v>1271</v>
      </c>
      <c r="E1705" s="75" t="s">
        <v>1266</v>
      </c>
      <c r="F1705" s="75" t="s">
        <v>1267</v>
      </c>
      <c r="G1705" s="75" t="s">
        <v>1268</v>
      </c>
    </row>
    <row r="1706" spans="1:7" x14ac:dyDescent="0.2">
      <c r="A1706" s="40">
        <v>6904</v>
      </c>
      <c r="B1706" s="39" t="s">
        <v>2479</v>
      </c>
      <c r="C1706" s="40" t="s">
        <v>1075</v>
      </c>
      <c r="D1706" s="75" t="s">
        <v>1271</v>
      </c>
      <c r="E1706" s="75" t="s">
        <v>1266</v>
      </c>
      <c r="F1706" s="75" t="s">
        <v>1267</v>
      </c>
      <c r="G1706" s="75" t="s">
        <v>1268</v>
      </c>
    </row>
    <row r="1707" spans="1:7" x14ac:dyDescent="0.2">
      <c r="A1707" s="40">
        <v>6905</v>
      </c>
      <c r="B1707" s="39" t="s">
        <v>2480</v>
      </c>
      <c r="C1707" s="40" t="s">
        <v>1075</v>
      </c>
      <c r="D1707" s="75" t="s">
        <v>1271</v>
      </c>
      <c r="E1707" s="75" t="s">
        <v>1266</v>
      </c>
      <c r="F1707" s="75" t="s">
        <v>1267</v>
      </c>
      <c r="G1707" s="75" t="s">
        <v>1268</v>
      </c>
    </row>
    <row r="1708" spans="1:7" x14ac:dyDescent="0.2">
      <c r="A1708" s="40">
        <v>6911</v>
      </c>
      <c r="B1708" s="39" t="s">
        <v>2481</v>
      </c>
      <c r="C1708" s="40" t="s">
        <v>1075</v>
      </c>
      <c r="D1708" s="75" t="s">
        <v>1269</v>
      </c>
      <c r="E1708" s="75" t="s">
        <v>1266</v>
      </c>
      <c r="F1708" s="75" t="s">
        <v>1268</v>
      </c>
      <c r="G1708" s="75" t="s">
        <v>1268</v>
      </c>
    </row>
    <row r="1709" spans="1:7" x14ac:dyDescent="0.2">
      <c r="A1709" s="40">
        <v>6912</v>
      </c>
      <c r="B1709" s="39" t="s">
        <v>2482</v>
      </c>
      <c r="C1709" s="40" t="s">
        <v>1075</v>
      </c>
      <c r="D1709" s="75" t="s">
        <v>1269</v>
      </c>
      <c r="E1709" s="75" t="s">
        <v>1266</v>
      </c>
      <c r="F1709" s="75" t="s">
        <v>1268</v>
      </c>
      <c r="G1709" s="75" t="s">
        <v>1268</v>
      </c>
    </row>
    <row r="1710" spans="1:7" x14ac:dyDescent="0.2">
      <c r="A1710" s="40">
        <v>6914</v>
      </c>
      <c r="B1710" s="39" t="s">
        <v>2483</v>
      </c>
      <c r="C1710" s="40" t="s">
        <v>1075</v>
      </c>
      <c r="D1710" s="75" t="s">
        <v>1269</v>
      </c>
      <c r="E1710" s="75" t="s">
        <v>1266</v>
      </c>
      <c r="F1710" s="75" t="s">
        <v>1268</v>
      </c>
      <c r="G1710" s="75" t="s">
        <v>1267</v>
      </c>
    </row>
    <row r="1711" spans="1:7" x14ac:dyDescent="0.2">
      <c r="A1711" s="40">
        <v>6921</v>
      </c>
      <c r="B1711" s="39" t="s">
        <v>2484</v>
      </c>
      <c r="C1711" s="40" t="s">
        <v>1075</v>
      </c>
      <c r="D1711" s="75" t="s">
        <v>1269</v>
      </c>
      <c r="E1711" s="75" t="s">
        <v>1266</v>
      </c>
      <c r="F1711" s="75" t="s">
        <v>1268</v>
      </c>
      <c r="G1711" s="75" t="s">
        <v>1268</v>
      </c>
    </row>
    <row r="1712" spans="1:7" x14ac:dyDescent="0.2">
      <c r="A1712" s="40">
        <v>6922</v>
      </c>
      <c r="B1712" s="39" t="s">
        <v>2485</v>
      </c>
      <c r="C1712" s="40" t="s">
        <v>1075</v>
      </c>
      <c r="D1712" s="75" t="s">
        <v>1269</v>
      </c>
      <c r="E1712" s="75" t="s">
        <v>1266</v>
      </c>
      <c r="F1712" s="75" t="s">
        <v>1268</v>
      </c>
      <c r="G1712" s="75" t="s">
        <v>1268</v>
      </c>
    </row>
    <row r="1713" spans="1:7" x14ac:dyDescent="0.2">
      <c r="A1713" s="40">
        <v>6923</v>
      </c>
      <c r="B1713" s="39" t="s">
        <v>2486</v>
      </c>
      <c r="C1713" s="40" t="s">
        <v>1075</v>
      </c>
      <c r="D1713" s="75" t="s">
        <v>1269</v>
      </c>
      <c r="E1713" s="75" t="s">
        <v>1266</v>
      </c>
      <c r="F1713" s="75" t="s">
        <v>1268</v>
      </c>
      <c r="G1713" s="75" t="s">
        <v>1268</v>
      </c>
    </row>
    <row r="1714" spans="1:7" x14ac:dyDescent="0.2">
      <c r="A1714" s="40">
        <v>6932</v>
      </c>
      <c r="B1714" s="39" t="s">
        <v>2487</v>
      </c>
      <c r="C1714" s="40" t="s">
        <v>1075</v>
      </c>
      <c r="D1714" s="75" t="s">
        <v>1269</v>
      </c>
      <c r="E1714" s="75" t="s">
        <v>1266</v>
      </c>
      <c r="F1714" s="75" t="s">
        <v>1268</v>
      </c>
      <c r="G1714" s="75" t="s">
        <v>1268</v>
      </c>
    </row>
    <row r="1715" spans="1:7" x14ac:dyDescent="0.2">
      <c r="A1715" s="40">
        <v>6933</v>
      </c>
      <c r="B1715" s="39" t="s">
        <v>2488</v>
      </c>
      <c r="C1715" s="40" t="s">
        <v>1075</v>
      </c>
      <c r="D1715" s="75" t="s">
        <v>1269</v>
      </c>
      <c r="E1715" s="75" t="s">
        <v>1266</v>
      </c>
      <c r="F1715" s="75" t="s">
        <v>1268</v>
      </c>
      <c r="G1715" s="75" t="s">
        <v>1267</v>
      </c>
    </row>
    <row r="1716" spans="1:7" x14ac:dyDescent="0.2">
      <c r="A1716" s="40">
        <v>6934</v>
      </c>
      <c r="B1716" s="39" t="s">
        <v>2489</v>
      </c>
      <c r="C1716" s="40" t="s">
        <v>1075</v>
      </c>
      <c r="D1716" s="75" t="s">
        <v>1269</v>
      </c>
      <c r="E1716" s="75" t="s">
        <v>1266</v>
      </c>
      <c r="F1716" s="75" t="s">
        <v>1268</v>
      </c>
      <c r="G1716" s="75" t="s">
        <v>1267</v>
      </c>
    </row>
    <row r="1717" spans="1:7" x14ac:dyDescent="0.2">
      <c r="A1717" s="40">
        <v>6941</v>
      </c>
      <c r="B1717" s="39" t="s">
        <v>2490</v>
      </c>
      <c r="C1717" s="40" t="s">
        <v>1075</v>
      </c>
      <c r="D1717" s="75" t="s">
        <v>1269</v>
      </c>
      <c r="E1717" s="75" t="s">
        <v>1266</v>
      </c>
      <c r="F1717" s="75" t="s">
        <v>1268</v>
      </c>
      <c r="G1717" s="75" t="s">
        <v>1267</v>
      </c>
    </row>
    <row r="1718" spans="1:7" x14ac:dyDescent="0.2">
      <c r="A1718" s="40">
        <v>6942</v>
      </c>
      <c r="B1718" s="39" t="s">
        <v>1927</v>
      </c>
      <c r="C1718" s="40" t="s">
        <v>1075</v>
      </c>
      <c r="D1718" s="75" t="s">
        <v>1269</v>
      </c>
      <c r="E1718" s="75" t="s">
        <v>1266</v>
      </c>
      <c r="F1718" s="75" t="s">
        <v>1268</v>
      </c>
      <c r="G1718" s="75" t="s">
        <v>1268</v>
      </c>
    </row>
    <row r="1719" spans="1:7" x14ac:dyDescent="0.2">
      <c r="A1719" s="40">
        <v>6943</v>
      </c>
      <c r="B1719" s="39" t="s">
        <v>2491</v>
      </c>
      <c r="C1719" s="40" t="s">
        <v>1075</v>
      </c>
      <c r="D1719" s="75" t="s">
        <v>1269</v>
      </c>
      <c r="E1719" s="75" t="s">
        <v>1266</v>
      </c>
      <c r="F1719" s="75" t="s">
        <v>1268</v>
      </c>
      <c r="G1719" s="75" t="s">
        <v>1267</v>
      </c>
    </row>
    <row r="1720" spans="1:7" x14ac:dyDescent="0.2">
      <c r="A1720" s="40">
        <v>6951</v>
      </c>
      <c r="B1720" s="39" t="s">
        <v>2492</v>
      </c>
      <c r="C1720" s="40" t="s">
        <v>1075</v>
      </c>
      <c r="D1720" s="75" t="s">
        <v>1269</v>
      </c>
      <c r="E1720" s="75" t="s">
        <v>1266</v>
      </c>
      <c r="F1720" s="75" t="s">
        <v>1268</v>
      </c>
      <c r="G1720" s="75" t="s">
        <v>1267</v>
      </c>
    </row>
    <row r="1721" spans="1:7" x14ac:dyDescent="0.2">
      <c r="A1721" s="40">
        <v>6952</v>
      </c>
      <c r="B1721" s="39" t="s">
        <v>2493</v>
      </c>
      <c r="C1721" s="40" t="s">
        <v>1075</v>
      </c>
      <c r="D1721" s="75" t="s">
        <v>1269</v>
      </c>
      <c r="E1721" s="75" t="s">
        <v>1266</v>
      </c>
      <c r="F1721" s="75" t="s">
        <v>1268</v>
      </c>
      <c r="G1721" s="75" t="s">
        <v>1268</v>
      </c>
    </row>
    <row r="1722" spans="1:7" x14ac:dyDescent="0.2">
      <c r="A1722" s="40">
        <v>6960</v>
      </c>
      <c r="B1722" s="39" t="s">
        <v>2494</v>
      </c>
      <c r="C1722" s="40" t="s">
        <v>1075</v>
      </c>
      <c r="D1722" s="75" t="s">
        <v>1269</v>
      </c>
      <c r="E1722" s="75" t="s">
        <v>1266</v>
      </c>
      <c r="F1722" s="75" t="s">
        <v>1268</v>
      </c>
      <c r="G1722" s="75" t="s">
        <v>1268</v>
      </c>
    </row>
    <row r="1723" spans="1:7" x14ac:dyDescent="0.2">
      <c r="A1723" s="40">
        <v>6961</v>
      </c>
      <c r="B1723" s="39" t="s">
        <v>2495</v>
      </c>
      <c r="C1723" s="40" t="s">
        <v>1075</v>
      </c>
      <c r="D1723" s="75" t="s">
        <v>1271</v>
      </c>
      <c r="E1723" s="75" t="s">
        <v>1266</v>
      </c>
      <c r="F1723" s="75" t="s">
        <v>1267</v>
      </c>
      <c r="G1723" s="75" t="s">
        <v>1268</v>
      </c>
    </row>
    <row r="1724" spans="1:7" x14ac:dyDescent="0.2">
      <c r="A1724" s="40">
        <v>6971</v>
      </c>
      <c r="B1724" s="39" t="s">
        <v>2496</v>
      </c>
      <c r="C1724" s="40" t="s">
        <v>1075</v>
      </c>
      <c r="D1724" s="75" t="s">
        <v>1269</v>
      </c>
      <c r="E1724" s="75" t="s">
        <v>1266</v>
      </c>
      <c r="F1724" s="75" t="s">
        <v>1268</v>
      </c>
      <c r="G1724" s="75" t="s">
        <v>1268</v>
      </c>
    </row>
    <row r="1725" spans="1:7" x14ac:dyDescent="0.2">
      <c r="A1725" s="40">
        <v>6972</v>
      </c>
      <c r="B1725" s="39" t="s">
        <v>2497</v>
      </c>
      <c r="C1725" s="40" t="s">
        <v>1075</v>
      </c>
      <c r="D1725" s="75" t="s">
        <v>1269</v>
      </c>
      <c r="E1725" s="75" t="s">
        <v>1266</v>
      </c>
      <c r="F1725" s="75" t="s">
        <v>1268</v>
      </c>
      <c r="G1725" s="75" t="s">
        <v>1268</v>
      </c>
    </row>
    <row r="1726" spans="1:7" x14ac:dyDescent="0.2">
      <c r="A1726" s="40">
        <v>6973</v>
      </c>
      <c r="B1726" s="39" t="s">
        <v>2498</v>
      </c>
      <c r="C1726" s="40" t="s">
        <v>1075</v>
      </c>
      <c r="D1726" s="75" t="s">
        <v>1269</v>
      </c>
      <c r="E1726" s="75" t="s">
        <v>1266</v>
      </c>
      <c r="F1726" s="75" t="s">
        <v>1268</v>
      </c>
      <c r="G1726" s="75" t="s">
        <v>1268</v>
      </c>
    </row>
    <row r="1727" spans="1:7" x14ac:dyDescent="0.2">
      <c r="A1727" s="40">
        <v>6974</v>
      </c>
      <c r="B1727" s="39" t="s">
        <v>2499</v>
      </c>
      <c r="C1727" s="40" t="s">
        <v>1075</v>
      </c>
      <c r="D1727" s="75" t="s">
        <v>1269</v>
      </c>
      <c r="E1727" s="75" t="s">
        <v>1266</v>
      </c>
      <c r="F1727" s="75" t="s">
        <v>1268</v>
      </c>
      <c r="G1727" s="75" t="s">
        <v>1268</v>
      </c>
    </row>
    <row r="1728" spans="1:7" x14ac:dyDescent="0.2">
      <c r="A1728" s="40">
        <v>6991</v>
      </c>
      <c r="B1728" s="39" t="s">
        <v>2500</v>
      </c>
      <c r="C1728" s="40" t="s">
        <v>1075</v>
      </c>
      <c r="D1728" s="75" t="s">
        <v>1269</v>
      </c>
      <c r="E1728" s="75" t="s">
        <v>1266</v>
      </c>
      <c r="F1728" s="75" t="s">
        <v>1268</v>
      </c>
      <c r="G1728" s="75" t="s">
        <v>1268</v>
      </c>
    </row>
    <row r="1729" spans="1:7" x14ac:dyDescent="0.2">
      <c r="A1729" s="40">
        <v>6992</v>
      </c>
      <c r="B1729" s="39" t="s">
        <v>2501</v>
      </c>
      <c r="C1729" s="40" t="s">
        <v>1075</v>
      </c>
      <c r="D1729" s="75" t="s">
        <v>1269</v>
      </c>
      <c r="E1729" s="75" t="s">
        <v>1266</v>
      </c>
      <c r="F1729" s="75" t="s">
        <v>1268</v>
      </c>
      <c r="G1729" s="75" t="s">
        <v>1268</v>
      </c>
    </row>
    <row r="1730" spans="1:7" x14ac:dyDescent="0.2">
      <c r="A1730" s="40">
        <v>6993</v>
      </c>
      <c r="B1730" s="39" t="s">
        <v>2502</v>
      </c>
      <c r="C1730" s="40" t="s">
        <v>1075</v>
      </c>
      <c r="D1730" s="75" t="s">
        <v>1269</v>
      </c>
      <c r="E1730" s="75" t="s">
        <v>1266</v>
      </c>
      <c r="F1730" s="75" t="s">
        <v>1268</v>
      </c>
      <c r="G1730" s="75" t="s">
        <v>1267</v>
      </c>
    </row>
    <row r="1731" spans="1:7" x14ac:dyDescent="0.2">
      <c r="A1731" s="40">
        <v>7000</v>
      </c>
      <c r="B1731" s="39" t="s">
        <v>148</v>
      </c>
      <c r="C1731" s="40" t="s">
        <v>1806</v>
      </c>
      <c r="D1731" s="75" t="s">
        <v>1269</v>
      </c>
      <c r="E1731" s="75" t="s">
        <v>1266</v>
      </c>
      <c r="F1731" s="75" t="s">
        <v>1268</v>
      </c>
      <c r="G1731" s="75" t="s">
        <v>1268</v>
      </c>
    </row>
    <row r="1732" spans="1:7" x14ac:dyDescent="0.2">
      <c r="A1732" s="40">
        <v>7001</v>
      </c>
      <c r="B1732" s="39" t="s">
        <v>2503</v>
      </c>
      <c r="C1732" s="40" t="s">
        <v>1806</v>
      </c>
      <c r="D1732" s="75" t="s">
        <v>1271</v>
      </c>
      <c r="E1732" s="75" t="s">
        <v>1266</v>
      </c>
      <c r="F1732" s="75" t="s">
        <v>1267</v>
      </c>
      <c r="G1732" s="75" t="s">
        <v>1268</v>
      </c>
    </row>
    <row r="1733" spans="1:7" x14ac:dyDescent="0.2">
      <c r="A1733" s="40">
        <v>7002</v>
      </c>
      <c r="B1733" s="39" t="s">
        <v>148</v>
      </c>
      <c r="C1733" s="40" t="s">
        <v>1806</v>
      </c>
      <c r="D1733" s="75" t="s">
        <v>1271</v>
      </c>
      <c r="E1733" s="75" t="s">
        <v>1266</v>
      </c>
      <c r="F1733" s="75" t="s">
        <v>1267</v>
      </c>
      <c r="G1733" s="75" t="s">
        <v>1268</v>
      </c>
    </row>
    <row r="1734" spans="1:7" x14ac:dyDescent="0.2">
      <c r="A1734" s="40">
        <v>7011</v>
      </c>
      <c r="B1734" s="39" t="s">
        <v>2504</v>
      </c>
      <c r="C1734" s="40" t="s">
        <v>1806</v>
      </c>
      <c r="D1734" s="75" t="s">
        <v>1269</v>
      </c>
      <c r="E1734" s="75" t="s">
        <v>1266</v>
      </c>
      <c r="F1734" s="75" t="s">
        <v>1268</v>
      </c>
      <c r="G1734" s="75" t="s">
        <v>1267</v>
      </c>
    </row>
    <row r="1735" spans="1:7" x14ac:dyDescent="0.2">
      <c r="A1735" s="40">
        <v>7013</v>
      </c>
      <c r="B1735" s="39" t="s">
        <v>2505</v>
      </c>
      <c r="C1735" s="40" t="s">
        <v>1806</v>
      </c>
      <c r="D1735" s="75" t="s">
        <v>1269</v>
      </c>
      <c r="E1735" s="75" t="s">
        <v>1266</v>
      </c>
      <c r="F1735" s="75" t="s">
        <v>1268</v>
      </c>
      <c r="G1735" s="75" t="s">
        <v>1268</v>
      </c>
    </row>
    <row r="1736" spans="1:7" x14ac:dyDescent="0.2">
      <c r="A1736" s="40">
        <v>7021</v>
      </c>
      <c r="B1736" s="39" t="s">
        <v>2506</v>
      </c>
      <c r="C1736" s="40" t="s">
        <v>1806</v>
      </c>
      <c r="D1736" s="75" t="s">
        <v>1269</v>
      </c>
      <c r="E1736" s="75" t="s">
        <v>1266</v>
      </c>
      <c r="F1736" s="75" t="s">
        <v>1268</v>
      </c>
      <c r="G1736" s="75" t="s">
        <v>1268</v>
      </c>
    </row>
    <row r="1737" spans="1:7" x14ac:dyDescent="0.2">
      <c r="A1737" s="40">
        <v>7022</v>
      </c>
      <c r="B1737" s="39" t="s">
        <v>2507</v>
      </c>
      <c r="C1737" s="40" t="s">
        <v>1806</v>
      </c>
      <c r="D1737" s="75" t="s">
        <v>1269</v>
      </c>
      <c r="E1737" s="75" t="s">
        <v>1266</v>
      </c>
      <c r="F1737" s="75" t="s">
        <v>1268</v>
      </c>
      <c r="G1737" s="75" t="s">
        <v>1268</v>
      </c>
    </row>
    <row r="1738" spans="1:7" x14ac:dyDescent="0.2">
      <c r="A1738" s="40">
        <v>7023</v>
      </c>
      <c r="B1738" s="39" t="s">
        <v>2508</v>
      </c>
      <c r="C1738" s="40" t="s">
        <v>1806</v>
      </c>
      <c r="D1738" s="75" t="s">
        <v>1269</v>
      </c>
      <c r="E1738" s="75" t="s">
        <v>1266</v>
      </c>
      <c r="F1738" s="75" t="s">
        <v>1268</v>
      </c>
      <c r="G1738" s="75" t="s">
        <v>1267</v>
      </c>
    </row>
    <row r="1739" spans="1:7" x14ac:dyDescent="0.2">
      <c r="A1739" s="40">
        <v>7024</v>
      </c>
      <c r="B1739" s="39" t="s">
        <v>2509</v>
      </c>
      <c r="C1739" s="40" t="s">
        <v>1806</v>
      </c>
      <c r="D1739" s="75" t="s">
        <v>1269</v>
      </c>
      <c r="E1739" s="75" t="s">
        <v>1266</v>
      </c>
      <c r="F1739" s="75" t="s">
        <v>1268</v>
      </c>
      <c r="G1739" s="75" t="s">
        <v>1268</v>
      </c>
    </row>
    <row r="1740" spans="1:7" x14ac:dyDescent="0.2">
      <c r="A1740" s="40">
        <v>7031</v>
      </c>
      <c r="B1740" s="39" t="s">
        <v>2510</v>
      </c>
      <c r="C1740" s="40" t="s">
        <v>1806</v>
      </c>
      <c r="D1740" s="75" t="s">
        <v>1269</v>
      </c>
      <c r="E1740" s="75" t="s">
        <v>1266</v>
      </c>
      <c r="F1740" s="75" t="s">
        <v>1268</v>
      </c>
      <c r="G1740" s="75" t="s">
        <v>1267</v>
      </c>
    </row>
    <row r="1741" spans="1:7" x14ac:dyDescent="0.2">
      <c r="A1741" s="40">
        <v>7032</v>
      </c>
      <c r="B1741" s="39" t="s">
        <v>2511</v>
      </c>
      <c r="C1741" s="40" t="s">
        <v>1806</v>
      </c>
      <c r="D1741" s="75" t="s">
        <v>1269</v>
      </c>
      <c r="E1741" s="75" t="s">
        <v>1266</v>
      </c>
      <c r="F1741" s="75" t="s">
        <v>1268</v>
      </c>
      <c r="G1741" s="75" t="s">
        <v>1267</v>
      </c>
    </row>
    <row r="1742" spans="1:7" x14ac:dyDescent="0.2">
      <c r="A1742" s="40">
        <v>7033</v>
      </c>
      <c r="B1742" s="39" t="s">
        <v>2512</v>
      </c>
      <c r="C1742" s="40" t="s">
        <v>1806</v>
      </c>
      <c r="D1742" s="75" t="s">
        <v>1269</v>
      </c>
      <c r="E1742" s="75" t="s">
        <v>1266</v>
      </c>
      <c r="F1742" s="75" t="s">
        <v>1268</v>
      </c>
      <c r="G1742" s="75" t="s">
        <v>1268</v>
      </c>
    </row>
    <row r="1743" spans="1:7" x14ac:dyDescent="0.2">
      <c r="A1743" s="40">
        <v>7034</v>
      </c>
      <c r="B1743" s="39" t="s">
        <v>2513</v>
      </c>
      <c r="C1743" s="40" t="s">
        <v>1806</v>
      </c>
      <c r="D1743" s="75" t="s">
        <v>1269</v>
      </c>
      <c r="E1743" s="75" t="s">
        <v>1266</v>
      </c>
      <c r="F1743" s="75" t="s">
        <v>1268</v>
      </c>
      <c r="G1743" s="75" t="s">
        <v>1267</v>
      </c>
    </row>
    <row r="1744" spans="1:7" x14ac:dyDescent="0.2">
      <c r="A1744" s="40">
        <v>7035</v>
      </c>
      <c r="B1744" s="39" t="s">
        <v>2514</v>
      </c>
      <c r="C1744" s="40" t="s">
        <v>1806</v>
      </c>
      <c r="D1744" s="75" t="s">
        <v>1269</v>
      </c>
      <c r="E1744" s="75" t="s">
        <v>1266</v>
      </c>
      <c r="F1744" s="75" t="s">
        <v>1268</v>
      </c>
      <c r="G1744" s="75" t="s">
        <v>1268</v>
      </c>
    </row>
    <row r="1745" spans="1:7" x14ac:dyDescent="0.2">
      <c r="A1745" s="40">
        <v>7041</v>
      </c>
      <c r="B1745" s="39" t="s">
        <v>2515</v>
      </c>
      <c r="C1745" s="40" t="s">
        <v>1806</v>
      </c>
      <c r="D1745" s="75" t="s">
        <v>1269</v>
      </c>
      <c r="E1745" s="75" t="s">
        <v>1266</v>
      </c>
      <c r="F1745" s="75" t="s">
        <v>1268</v>
      </c>
      <c r="G1745" s="75" t="s">
        <v>1268</v>
      </c>
    </row>
    <row r="1746" spans="1:7" x14ac:dyDescent="0.2">
      <c r="A1746" s="40">
        <v>7051</v>
      </c>
      <c r="B1746" s="39" t="s">
        <v>2516</v>
      </c>
      <c r="C1746" s="40" t="s">
        <v>1806</v>
      </c>
      <c r="D1746" s="75" t="s">
        <v>1269</v>
      </c>
      <c r="E1746" s="75" t="s">
        <v>1266</v>
      </c>
      <c r="F1746" s="75" t="s">
        <v>1268</v>
      </c>
      <c r="G1746" s="75" t="s">
        <v>1267</v>
      </c>
    </row>
    <row r="1747" spans="1:7" x14ac:dyDescent="0.2">
      <c r="A1747" s="40">
        <v>7052</v>
      </c>
      <c r="B1747" s="39" t="s">
        <v>2517</v>
      </c>
      <c r="C1747" s="40" t="s">
        <v>1806</v>
      </c>
      <c r="D1747" s="75" t="s">
        <v>1269</v>
      </c>
      <c r="E1747" s="75" t="s">
        <v>1266</v>
      </c>
      <c r="F1747" s="75" t="s">
        <v>1268</v>
      </c>
      <c r="G1747" s="75" t="s">
        <v>1267</v>
      </c>
    </row>
    <row r="1748" spans="1:7" x14ac:dyDescent="0.2">
      <c r="A1748" s="40">
        <v>7053</v>
      </c>
      <c r="B1748" s="39" t="s">
        <v>2518</v>
      </c>
      <c r="C1748" s="40" t="s">
        <v>1806</v>
      </c>
      <c r="D1748" s="75" t="s">
        <v>1269</v>
      </c>
      <c r="E1748" s="75" t="s">
        <v>1266</v>
      </c>
      <c r="F1748" s="75" t="s">
        <v>1268</v>
      </c>
      <c r="G1748" s="75" t="s">
        <v>1268</v>
      </c>
    </row>
    <row r="1749" spans="1:7" x14ac:dyDescent="0.2">
      <c r="A1749" s="40">
        <v>7061</v>
      </c>
      <c r="B1749" s="39" t="s">
        <v>2519</v>
      </c>
      <c r="C1749" s="40" t="s">
        <v>1806</v>
      </c>
      <c r="D1749" s="75" t="s">
        <v>1269</v>
      </c>
      <c r="E1749" s="75" t="s">
        <v>1266</v>
      </c>
      <c r="F1749" s="75" t="s">
        <v>1268</v>
      </c>
      <c r="G1749" s="75" t="s">
        <v>1267</v>
      </c>
    </row>
    <row r="1750" spans="1:7" x14ac:dyDescent="0.2">
      <c r="A1750" s="40">
        <v>7062</v>
      </c>
      <c r="B1750" s="39" t="s">
        <v>2520</v>
      </c>
      <c r="C1750" s="40" t="s">
        <v>1806</v>
      </c>
      <c r="D1750" s="75" t="s">
        <v>1269</v>
      </c>
      <c r="E1750" s="75" t="s">
        <v>1266</v>
      </c>
      <c r="F1750" s="75" t="s">
        <v>1268</v>
      </c>
      <c r="G1750" s="75" t="s">
        <v>1268</v>
      </c>
    </row>
    <row r="1751" spans="1:7" x14ac:dyDescent="0.2">
      <c r="A1751" s="40">
        <v>7063</v>
      </c>
      <c r="B1751" s="39" t="s">
        <v>2521</v>
      </c>
      <c r="C1751" s="40" t="s">
        <v>1806</v>
      </c>
      <c r="D1751" s="75" t="s">
        <v>1269</v>
      </c>
      <c r="E1751" s="75" t="s">
        <v>1266</v>
      </c>
      <c r="F1751" s="75" t="s">
        <v>1268</v>
      </c>
      <c r="G1751" s="75" t="s">
        <v>1268</v>
      </c>
    </row>
    <row r="1752" spans="1:7" x14ac:dyDescent="0.2">
      <c r="A1752" s="40">
        <v>7064</v>
      </c>
      <c r="B1752" s="39" t="s">
        <v>2522</v>
      </c>
      <c r="C1752" s="40" t="s">
        <v>1806</v>
      </c>
      <c r="D1752" s="75" t="s">
        <v>1269</v>
      </c>
      <c r="E1752" s="75" t="s">
        <v>1266</v>
      </c>
      <c r="F1752" s="75" t="s">
        <v>1268</v>
      </c>
      <c r="G1752" s="75" t="s">
        <v>1267</v>
      </c>
    </row>
    <row r="1753" spans="1:7" x14ac:dyDescent="0.2">
      <c r="A1753" s="40">
        <v>7071</v>
      </c>
      <c r="B1753" s="39" t="s">
        <v>2523</v>
      </c>
      <c r="C1753" s="40" t="s">
        <v>1806</v>
      </c>
      <c r="D1753" s="75" t="s">
        <v>1269</v>
      </c>
      <c r="E1753" s="75" t="s">
        <v>1266</v>
      </c>
      <c r="F1753" s="75" t="s">
        <v>1268</v>
      </c>
      <c r="G1753" s="75" t="s">
        <v>1268</v>
      </c>
    </row>
    <row r="1754" spans="1:7" x14ac:dyDescent="0.2">
      <c r="A1754" s="40">
        <v>7072</v>
      </c>
      <c r="B1754" s="39" t="s">
        <v>2524</v>
      </c>
      <c r="C1754" s="40" t="s">
        <v>1806</v>
      </c>
      <c r="D1754" s="75" t="s">
        <v>1269</v>
      </c>
      <c r="E1754" s="75" t="s">
        <v>1266</v>
      </c>
      <c r="F1754" s="75" t="s">
        <v>1268</v>
      </c>
      <c r="G1754" s="75" t="s">
        <v>1268</v>
      </c>
    </row>
    <row r="1755" spans="1:7" x14ac:dyDescent="0.2">
      <c r="A1755" s="40">
        <v>7073</v>
      </c>
      <c r="B1755" s="39" t="s">
        <v>2525</v>
      </c>
      <c r="C1755" s="40" t="s">
        <v>1806</v>
      </c>
      <c r="D1755" s="75" t="s">
        <v>1265</v>
      </c>
      <c r="E1755" s="75" t="s">
        <v>1266</v>
      </c>
      <c r="F1755" s="75" t="s">
        <v>1267</v>
      </c>
      <c r="G1755" s="75" t="s">
        <v>1268</v>
      </c>
    </row>
    <row r="1756" spans="1:7" x14ac:dyDescent="0.2">
      <c r="A1756" s="40">
        <v>7081</v>
      </c>
      <c r="B1756" s="39" t="s">
        <v>2526</v>
      </c>
      <c r="C1756" s="40" t="s">
        <v>1806</v>
      </c>
      <c r="D1756" s="75" t="s">
        <v>1269</v>
      </c>
      <c r="E1756" s="75" t="s">
        <v>1266</v>
      </c>
      <c r="F1756" s="75" t="s">
        <v>1268</v>
      </c>
      <c r="G1756" s="75" t="s">
        <v>1267</v>
      </c>
    </row>
    <row r="1757" spans="1:7" x14ac:dyDescent="0.2">
      <c r="A1757" s="40">
        <v>7082</v>
      </c>
      <c r="B1757" s="39" t="s">
        <v>2527</v>
      </c>
      <c r="C1757" s="40" t="s">
        <v>1806</v>
      </c>
      <c r="D1757" s="75" t="s">
        <v>1269</v>
      </c>
      <c r="E1757" s="75" t="s">
        <v>1266</v>
      </c>
      <c r="F1757" s="75" t="s">
        <v>1268</v>
      </c>
      <c r="G1757" s="75" t="s">
        <v>1267</v>
      </c>
    </row>
    <row r="1758" spans="1:7" x14ac:dyDescent="0.2">
      <c r="A1758" s="40">
        <v>7083</v>
      </c>
      <c r="B1758" s="39" t="s">
        <v>2528</v>
      </c>
      <c r="C1758" s="40" t="s">
        <v>1806</v>
      </c>
      <c r="D1758" s="75" t="s">
        <v>1269</v>
      </c>
      <c r="E1758" s="75" t="s">
        <v>1266</v>
      </c>
      <c r="F1758" s="75" t="s">
        <v>1268</v>
      </c>
      <c r="G1758" s="75" t="s">
        <v>1268</v>
      </c>
    </row>
    <row r="1759" spans="1:7" x14ac:dyDescent="0.2">
      <c r="A1759" s="40">
        <v>7091</v>
      </c>
      <c r="B1759" s="39" t="s">
        <v>2529</v>
      </c>
      <c r="C1759" s="40" t="s">
        <v>1806</v>
      </c>
      <c r="D1759" s="75" t="s">
        <v>1269</v>
      </c>
      <c r="E1759" s="75" t="s">
        <v>1266</v>
      </c>
      <c r="F1759" s="75" t="s">
        <v>1268</v>
      </c>
      <c r="G1759" s="75" t="s">
        <v>1268</v>
      </c>
    </row>
    <row r="1760" spans="1:7" x14ac:dyDescent="0.2">
      <c r="A1760" s="40">
        <v>7092</v>
      </c>
      <c r="B1760" s="39" t="s">
        <v>2530</v>
      </c>
      <c r="C1760" s="40" t="s">
        <v>1806</v>
      </c>
      <c r="D1760" s="75" t="s">
        <v>1269</v>
      </c>
      <c r="E1760" s="75" t="s">
        <v>1266</v>
      </c>
      <c r="F1760" s="75" t="s">
        <v>1268</v>
      </c>
      <c r="G1760" s="75" t="s">
        <v>1267</v>
      </c>
    </row>
    <row r="1761" spans="1:7" x14ac:dyDescent="0.2">
      <c r="A1761" s="40">
        <v>7093</v>
      </c>
      <c r="B1761" s="39" t="s">
        <v>2531</v>
      </c>
      <c r="C1761" s="40" t="s">
        <v>1806</v>
      </c>
      <c r="D1761" s="75" t="s">
        <v>1269</v>
      </c>
      <c r="E1761" s="75" t="s">
        <v>1266</v>
      </c>
      <c r="F1761" s="75" t="s">
        <v>1268</v>
      </c>
      <c r="G1761" s="75" t="s">
        <v>1267</v>
      </c>
    </row>
    <row r="1762" spans="1:7" x14ac:dyDescent="0.2">
      <c r="A1762" s="40">
        <v>7100</v>
      </c>
      <c r="B1762" s="39" t="s">
        <v>2532</v>
      </c>
      <c r="C1762" s="40" t="s">
        <v>1806</v>
      </c>
      <c r="D1762" s="75" t="s">
        <v>1269</v>
      </c>
      <c r="E1762" s="75" t="s">
        <v>1266</v>
      </c>
      <c r="F1762" s="75" t="s">
        <v>1268</v>
      </c>
      <c r="G1762" s="75" t="s">
        <v>1268</v>
      </c>
    </row>
    <row r="1763" spans="1:7" x14ac:dyDescent="0.2">
      <c r="A1763" s="40">
        <v>7111</v>
      </c>
      <c r="B1763" s="39" t="s">
        <v>2533</v>
      </c>
      <c r="C1763" s="40" t="s">
        <v>1806</v>
      </c>
      <c r="D1763" s="75" t="s">
        <v>1269</v>
      </c>
      <c r="E1763" s="75" t="s">
        <v>1266</v>
      </c>
      <c r="F1763" s="75" t="s">
        <v>1268</v>
      </c>
      <c r="G1763" s="75" t="s">
        <v>1268</v>
      </c>
    </row>
    <row r="1764" spans="1:7" x14ac:dyDescent="0.2">
      <c r="A1764" s="40">
        <v>7121</v>
      </c>
      <c r="B1764" s="39" t="s">
        <v>2534</v>
      </c>
      <c r="C1764" s="40" t="s">
        <v>1806</v>
      </c>
      <c r="D1764" s="75" t="s">
        <v>1269</v>
      </c>
      <c r="E1764" s="75" t="s">
        <v>1266</v>
      </c>
      <c r="F1764" s="75" t="s">
        <v>1268</v>
      </c>
      <c r="G1764" s="75" t="s">
        <v>1267</v>
      </c>
    </row>
    <row r="1765" spans="1:7" x14ac:dyDescent="0.2">
      <c r="A1765" s="40">
        <v>7122</v>
      </c>
      <c r="B1765" s="39" t="s">
        <v>2535</v>
      </c>
      <c r="C1765" s="40" t="s">
        <v>1806</v>
      </c>
      <c r="D1765" s="75" t="s">
        <v>1269</v>
      </c>
      <c r="E1765" s="75" t="s">
        <v>1266</v>
      </c>
      <c r="F1765" s="75" t="s">
        <v>1268</v>
      </c>
      <c r="G1765" s="75" t="s">
        <v>1268</v>
      </c>
    </row>
    <row r="1766" spans="1:7" x14ac:dyDescent="0.2">
      <c r="A1766" s="40">
        <v>7123</v>
      </c>
      <c r="B1766" s="39" t="s">
        <v>2536</v>
      </c>
      <c r="C1766" s="40" t="s">
        <v>1806</v>
      </c>
      <c r="D1766" s="75" t="s">
        <v>1269</v>
      </c>
      <c r="E1766" s="75" t="s">
        <v>1266</v>
      </c>
      <c r="F1766" s="75" t="s">
        <v>1268</v>
      </c>
      <c r="G1766" s="75" t="s">
        <v>1268</v>
      </c>
    </row>
    <row r="1767" spans="1:7" x14ac:dyDescent="0.2">
      <c r="A1767" s="40">
        <v>7131</v>
      </c>
      <c r="B1767" s="39" t="s">
        <v>2537</v>
      </c>
      <c r="C1767" s="40" t="s">
        <v>1806</v>
      </c>
      <c r="D1767" s="75" t="s">
        <v>1269</v>
      </c>
      <c r="E1767" s="75" t="s">
        <v>1266</v>
      </c>
      <c r="F1767" s="75" t="s">
        <v>1268</v>
      </c>
      <c r="G1767" s="75" t="s">
        <v>1268</v>
      </c>
    </row>
    <row r="1768" spans="1:7" x14ac:dyDescent="0.2">
      <c r="A1768" s="40">
        <v>7132</v>
      </c>
      <c r="B1768" s="39" t="s">
        <v>2538</v>
      </c>
      <c r="C1768" s="40" t="s">
        <v>1806</v>
      </c>
      <c r="D1768" s="75" t="s">
        <v>1269</v>
      </c>
      <c r="E1768" s="75" t="s">
        <v>1266</v>
      </c>
      <c r="F1768" s="75" t="s">
        <v>1268</v>
      </c>
      <c r="G1768" s="75" t="s">
        <v>1268</v>
      </c>
    </row>
    <row r="1769" spans="1:7" x14ac:dyDescent="0.2">
      <c r="A1769" s="40">
        <v>7141</v>
      </c>
      <c r="B1769" s="39" t="s">
        <v>2539</v>
      </c>
      <c r="C1769" s="40" t="s">
        <v>1806</v>
      </c>
      <c r="D1769" s="75" t="s">
        <v>1269</v>
      </c>
      <c r="E1769" s="75" t="s">
        <v>1266</v>
      </c>
      <c r="F1769" s="75" t="s">
        <v>1268</v>
      </c>
      <c r="G1769" s="75" t="s">
        <v>1268</v>
      </c>
    </row>
    <row r="1770" spans="1:7" x14ac:dyDescent="0.2">
      <c r="A1770" s="40">
        <v>7142</v>
      </c>
      <c r="B1770" s="39" t="s">
        <v>2540</v>
      </c>
      <c r="C1770" s="40" t="s">
        <v>1806</v>
      </c>
      <c r="D1770" s="75" t="s">
        <v>1269</v>
      </c>
      <c r="E1770" s="75" t="s">
        <v>1266</v>
      </c>
      <c r="F1770" s="75" t="s">
        <v>1268</v>
      </c>
      <c r="G1770" s="75" t="s">
        <v>1268</v>
      </c>
    </row>
    <row r="1771" spans="1:7" x14ac:dyDescent="0.2">
      <c r="A1771" s="40">
        <v>7143</v>
      </c>
      <c r="B1771" s="39" t="s">
        <v>2541</v>
      </c>
      <c r="C1771" s="40" t="s">
        <v>1806</v>
      </c>
      <c r="D1771" s="75" t="s">
        <v>1269</v>
      </c>
      <c r="E1771" s="75" t="s">
        <v>1266</v>
      </c>
      <c r="F1771" s="75" t="s">
        <v>1268</v>
      </c>
      <c r="G1771" s="75" t="s">
        <v>1267</v>
      </c>
    </row>
    <row r="1772" spans="1:7" x14ac:dyDescent="0.2">
      <c r="A1772" s="40">
        <v>7151</v>
      </c>
      <c r="B1772" s="39" t="s">
        <v>2542</v>
      </c>
      <c r="C1772" s="40" t="s">
        <v>1806</v>
      </c>
      <c r="D1772" s="75" t="s">
        <v>1269</v>
      </c>
      <c r="E1772" s="75" t="s">
        <v>1266</v>
      </c>
      <c r="F1772" s="75" t="s">
        <v>1268</v>
      </c>
      <c r="G1772" s="75" t="s">
        <v>1268</v>
      </c>
    </row>
    <row r="1773" spans="1:7" x14ac:dyDescent="0.2">
      <c r="A1773" s="40">
        <v>7152</v>
      </c>
      <c r="B1773" s="39" t="s">
        <v>2543</v>
      </c>
      <c r="C1773" s="40" t="s">
        <v>1806</v>
      </c>
      <c r="D1773" s="75" t="s">
        <v>1269</v>
      </c>
      <c r="E1773" s="75" t="s">
        <v>1266</v>
      </c>
      <c r="F1773" s="75" t="s">
        <v>1268</v>
      </c>
      <c r="G1773" s="75" t="s">
        <v>1268</v>
      </c>
    </row>
    <row r="1774" spans="1:7" x14ac:dyDescent="0.2">
      <c r="A1774" s="40">
        <v>7161</v>
      </c>
      <c r="B1774" s="39" t="s">
        <v>2544</v>
      </c>
      <c r="C1774" s="40" t="s">
        <v>1806</v>
      </c>
      <c r="D1774" s="75" t="s">
        <v>1269</v>
      </c>
      <c r="E1774" s="75" t="s">
        <v>1266</v>
      </c>
      <c r="F1774" s="75" t="s">
        <v>1268</v>
      </c>
      <c r="G1774" s="75" t="s">
        <v>1267</v>
      </c>
    </row>
    <row r="1775" spans="1:7" x14ac:dyDescent="0.2">
      <c r="A1775" s="40">
        <v>7162</v>
      </c>
      <c r="B1775" s="39" t="s">
        <v>2545</v>
      </c>
      <c r="C1775" s="40" t="s">
        <v>1806</v>
      </c>
      <c r="D1775" s="75" t="s">
        <v>1269</v>
      </c>
      <c r="E1775" s="75" t="s">
        <v>1266</v>
      </c>
      <c r="F1775" s="75" t="s">
        <v>1268</v>
      </c>
      <c r="G1775" s="75" t="s">
        <v>1267</v>
      </c>
    </row>
    <row r="1776" spans="1:7" x14ac:dyDescent="0.2">
      <c r="A1776" s="40">
        <v>7163</v>
      </c>
      <c r="B1776" s="39" t="s">
        <v>2546</v>
      </c>
      <c r="C1776" s="40" t="s">
        <v>1806</v>
      </c>
      <c r="D1776" s="75" t="s">
        <v>1269</v>
      </c>
      <c r="E1776" s="75" t="s">
        <v>1266</v>
      </c>
      <c r="F1776" s="75" t="s">
        <v>1268</v>
      </c>
      <c r="G1776" s="75" t="s">
        <v>1268</v>
      </c>
    </row>
    <row r="1777" spans="1:7" x14ac:dyDescent="0.2">
      <c r="A1777" s="40">
        <v>7201</v>
      </c>
      <c r="B1777" s="39" t="s">
        <v>2547</v>
      </c>
      <c r="C1777" s="40" t="s">
        <v>1806</v>
      </c>
      <c r="D1777" s="75" t="s">
        <v>1269</v>
      </c>
      <c r="E1777" s="75" t="s">
        <v>1266</v>
      </c>
      <c r="F1777" s="75" t="s">
        <v>1268</v>
      </c>
      <c r="G1777" s="75" t="s">
        <v>1268</v>
      </c>
    </row>
    <row r="1778" spans="1:7" x14ac:dyDescent="0.2">
      <c r="A1778" s="40">
        <v>7202</v>
      </c>
      <c r="B1778" s="39" t="s">
        <v>2548</v>
      </c>
      <c r="C1778" s="40" t="s">
        <v>1806</v>
      </c>
      <c r="D1778" s="75" t="s">
        <v>1269</v>
      </c>
      <c r="E1778" s="75" t="s">
        <v>1266</v>
      </c>
      <c r="F1778" s="75" t="s">
        <v>1268</v>
      </c>
      <c r="G1778" s="75" t="s">
        <v>1268</v>
      </c>
    </row>
    <row r="1779" spans="1:7" x14ac:dyDescent="0.2">
      <c r="A1779" s="40">
        <v>7203</v>
      </c>
      <c r="B1779" s="39" t="s">
        <v>2549</v>
      </c>
      <c r="C1779" s="40" t="s">
        <v>1806</v>
      </c>
      <c r="D1779" s="75" t="s">
        <v>1269</v>
      </c>
      <c r="E1779" s="75" t="s">
        <v>1266</v>
      </c>
      <c r="F1779" s="75" t="s">
        <v>1268</v>
      </c>
      <c r="G1779" s="75" t="s">
        <v>1267</v>
      </c>
    </row>
    <row r="1780" spans="1:7" x14ac:dyDescent="0.2">
      <c r="A1780" s="40">
        <v>7210</v>
      </c>
      <c r="B1780" s="39" t="s">
        <v>2550</v>
      </c>
      <c r="C1780" s="40" t="s">
        <v>1806</v>
      </c>
      <c r="D1780" s="75" t="s">
        <v>1269</v>
      </c>
      <c r="E1780" s="75" t="s">
        <v>1266</v>
      </c>
      <c r="F1780" s="75" t="s">
        <v>1268</v>
      </c>
      <c r="G1780" s="75" t="s">
        <v>1268</v>
      </c>
    </row>
    <row r="1781" spans="1:7" x14ac:dyDescent="0.2">
      <c r="A1781" s="40">
        <v>7212</v>
      </c>
      <c r="B1781" s="39" t="s">
        <v>2551</v>
      </c>
      <c r="C1781" s="40" t="s">
        <v>1806</v>
      </c>
      <c r="D1781" s="75" t="s">
        <v>1269</v>
      </c>
      <c r="E1781" s="75" t="s">
        <v>1266</v>
      </c>
      <c r="F1781" s="75" t="s">
        <v>1268</v>
      </c>
      <c r="G1781" s="75" t="s">
        <v>1267</v>
      </c>
    </row>
    <row r="1782" spans="1:7" x14ac:dyDescent="0.2">
      <c r="A1782" s="40">
        <v>7221</v>
      </c>
      <c r="B1782" s="39" t="s">
        <v>2552</v>
      </c>
      <c r="C1782" s="40" t="s">
        <v>1806</v>
      </c>
      <c r="D1782" s="75" t="s">
        <v>1269</v>
      </c>
      <c r="E1782" s="75" t="s">
        <v>1266</v>
      </c>
      <c r="F1782" s="75" t="s">
        <v>1268</v>
      </c>
      <c r="G1782" s="75" t="s">
        <v>1267</v>
      </c>
    </row>
    <row r="1783" spans="1:7" x14ac:dyDescent="0.2">
      <c r="A1783" s="40">
        <v>7222</v>
      </c>
      <c r="B1783" s="39" t="s">
        <v>2553</v>
      </c>
      <c r="C1783" s="40" t="s">
        <v>1806</v>
      </c>
      <c r="D1783" s="75" t="s">
        <v>1269</v>
      </c>
      <c r="E1783" s="75" t="s">
        <v>1266</v>
      </c>
      <c r="F1783" s="75" t="s">
        <v>1268</v>
      </c>
      <c r="G1783" s="75" t="s">
        <v>1268</v>
      </c>
    </row>
    <row r="1784" spans="1:7" x14ac:dyDescent="0.2">
      <c r="A1784" s="40">
        <v>7223</v>
      </c>
      <c r="B1784" s="39" t="s">
        <v>2554</v>
      </c>
      <c r="C1784" s="40" t="s">
        <v>1806</v>
      </c>
      <c r="D1784" s="75" t="s">
        <v>1269</v>
      </c>
      <c r="E1784" s="75" t="s">
        <v>1266</v>
      </c>
      <c r="F1784" s="75" t="s">
        <v>1268</v>
      </c>
      <c r="G1784" s="75" t="s">
        <v>1267</v>
      </c>
    </row>
    <row r="1785" spans="1:7" x14ac:dyDescent="0.2">
      <c r="A1785" s="40">
        <v>7301</v>
      </c>
      <c r="B1785" s="39" t="s">
        <v>2555</v>
      </c>
      <c r="C1785" s="40" t="s">
        <v>1806</v>
      </c>
      <c r="D1785" s="75" t="s">
        <v>1269</v>
      </c>
      <c r="E1785" s="75" t="s">
        <v>1266</v>
      </c>
      <c r="F1785" s="75" t="s">
        <v>1268</v>
      </c>
      <c r="G1785" s="75" t="s">
        <v>1268</v>
      </c>
    </row>
    <row r="1786" spans="1:7" x14ac:dyDescent="0.2">
      <c r="A1786" s="40">
        <v>7302</v>
      </c>
      <c r="B1786" s="39" t="s">
        <v>2556</v>
      </c>
      <c r="C1786" s="40" t="s">
        <v>1806</v>
      </c>
      <c r="D1786" s="75" t="s">
        <v>1269</v>
      </c>
      <c r="E1786" s="75" t="s">
        <v>1266</v>
      </c>
      <c r="F1786" s="75" t="s">
        <v>1268</v>
      </c>
      <c r="G1786" s="75" t="s">
        <v>1267</v>
      </c>
    </row>
    <row r="1787" spans="1:7" x14ac:dyDescent="0.2">
      <c r="A1787" s="40">
        <v>7304</v>
      </c>
      <c r="B1787" s="39" t="s">
        <v>2557</v>
      </c>
      <c r="C1787" s="40" t="s">
        <v>1806</v>
      </c>
      <c r="D1787" s="75" t="s">
        <v>1269</v>
      </c>
      <c r="E1787" s="75" t="s">
        <v>1266</v>
      </c>
      <c r="F1787" s="75" t="s">
        <v>1268</v>
      </c>
      <c r="G1787" s="75" t="s">
        <v>1267</v>
      </c>
    </row>
    <row r="1788" spans="1:7" x14ac:dyDescent="0.2">
      <c r="A1788" s="40">
        <v>7311</v>
      </c>
      <c r="B1788" s="39" t="s">
        <v>2558</v>
      </c>
      <c r="C1788" s="40" t="s">
        <v>1806</v>
      </c>
      <c r="D1788" s="75" t="s">
        <v>1269</v>
      </c>
      <c r="E1788" s="75" t="s">
        <v>1266</v>
      </c>
      <c r="F1788" s="75" t="s">
        <v>1268</v>
      </c>
      <c r="G1788" s="75" t="s">
        <v>1267</v>
      </c>
    </row>
    <row r="1789" spans="1:7" x14ac:dyDescent="0.2">
      <c r="A1789" s="40">
        <v>7312</v>
      </c>
      <c r="B1789" s="39" t="s">
        <v>2559</v>
      </c>
      <c r="C1789" s="40" t="s">
        <v>1806</v>
      </c>
      <c r="D1789" s="75" t="s">
        <v>1269</v>
      </c>
      <c r="E1789" s="75" t="s">
        <v>1266</v>
      </c>
      <c r="F1789" s="75" t="s">
        <v>1268</v>
      </c>
      <c r="G1789" s="75" t="s">
        <v>1268</v>
      </c>
    </row>
    <row r="1790" spans="1:7" x14ac:dyDescent="0.2">
      <c r="A1790" s="40">
        <v>7321</v>
      </c>
      <c r="B1790" s="39" t="s">
        <v>2560</v>
      </c>
      <c r="C1790" s="40" t="s">
        <v>1806</v>
      </c>
      <c r="D1790" s="75" t="s">
        <v>1269</v>
      </c>
      <c r="E1790" s="75" t="s">
        <v>1266</v>
      </c>
      <c r="F1790" s="75" t="s">
        <v>1268</v>
      </c>
      <c r="G1790" s="75" t="s">
        <v>1268</v>
      </c>
    </row>
    <row r="1791" spans="1:7" x14ac:dyDescent="0.2">
      <c r="A1791" s="40">
        <v>7322</v>
      </c>
      <c r="B1791" s="39" t="s">
        <v>2561</v>
      </c>
      <c r="C1791" s="40" t="s">
        <v>1806</v>
      </c>
      <c r="D1791" s="75" t="s">
        <v>1269</v>
      </c>
      <c r="E1791" s="75" t="s">
        <v>1266</v>
      </c>
      <c r="F1791" s="75" t="s">
        <v>1268</v>
      </c>
      <c r="G1791" s="75" t="s">
        <v>1267</v>
      </c>
    </row>
    <row r="1792" spans="1:7" x14ac:dyDescent="0.2">
      <c r="A1792" s="40">
        <v>7323</v>
      </c>
      <c r="B1792" s="39" t="s">
        <v>2562</v>
      </c>
      <c r="C1792" s="40" t="s">
        <v>1806</v>
      </c>
      <c r="D1792" s="75" t="s">
        <v>1269</v>
      </c>
      <c r="E1792" s="75" t="s">
        <v>1266</v>
      </c>
      <c r="F1792" s="75" t="s">
        <v>1268</v>
      </c>
      <c r="G1792" s="75" t="s">
        <v>1267</v>
      </c>
    </row>
    <row r="1793" spans="1:7" x14ac:dyDescent="0.2">
      <c r="A1793" s="40">
        <v>7331</v>
      </c>
      <c r="B1793" s="39" t="s">
        <v>2568</v>
      </c>
      <c r="C1793" s="40" t="s">
        <v>1806</v>
      </c>
      <c r="D1793" s="75" t="s">
        <v>1269</v>
      </c>
      <c r="E1793" s="75" t="s">
        <v>1266</v>
      </c>
      <c r="F1793" s="75" t="s">
        <v>1268</v>
      </c>
      <c r="G1793" s="75" t="s">
        <v>1268</v>
      </c>
    </row>
    <row r="1794" spans="1:7" x14ac:dyDescent="0.2">
      <c r="A1794" s="40">
        <v>7332</v>
      </c>
      <c r="B1794" s="39" t="s">
        <v>2569</v>
      </c>
      <c r="C1794" s="40" t="s">
        <v>1806</v>
      </c>
      <c r="D1794" s="75" t="s">
        <v>1269</v>
      </c>
      <c r="E1794" s="75" t="s">
        <v>1266</v>
      </c>
      <c r="F1794" s="75" t="s">
        <v>1268</v>
      </c>
      <c r="G1794" s="75" t="s">
        <v>1268</v>
      </c>
    </row>
    <row r="1795" spans="1:7" x14ac:dyDescent="0.2">
      <c r="A1795" s="40">
        <v>7341</v>
      </c>
      <c r="B1795" s="39" t="s">
        <v>2570</v>
      </c>
      <c r="C1795" s="40" t="s">
        <v>1806</v>
      </c>
      <c r="D1795" s="75" t="s">
        <v>1269</v>
      </c>
      <c r="E1795" s="75" t="s">
        <v>1266</v>
      </c>
      <c r="F1795" s="75" t="s">
        <v>1268</v>
      </c>
      <c r="G1795" s="75" t="s">
        <v>1267</v>
      </c>
    </row>
    <row r="1796" spans="1:7" x14ac:dyDescent="0.2">
      <c r="A1796" s="40">
        <v>7342</v>
      </c>
      <c r="B1796" s="39" t="s">
        <v>2571</v>
      </c>
      <c r="C1796" s="40" t="s">
        <v>1806</v>
      </c>
      <c r="D1796" s="75" t="s">
        <v>1269</v>
      </c>
      <c r="E1796" s="75" t="s">
        <v>1266</v>
      </c>
      <c r="F1796" s="75" t="s">
        <v>1268</v>
      </c>
      <c r="G1796" s="75" t="s">
        <v>1267</v>
      </c>
    </row>
    <row r="1797" spans="1:7" x14ac:dyDescent="0.2">
      <c r="A1797" s="40">
        <v>7343</v>
      </c>
      <c r="B1797" s="39" t="s">
        <v>2572</v>
      </c>
      <c r="C1797" s="40" t="s">
        <v>1806</v>
      </c>
      <c r="D1797" s="75" t="s">
        <v>1269</v>
      </c>
      <c r="E1797" s="75" t="s">
        <v>1266</v>
      </c>
      <c r="F1797" s="75" t="s">
        <v>1268</v>
      </c>
      <c r="G1797" s="75" t="s">
        <v>1267</v>
      </c>
    </row>
    <row r="1798" spans="1:7" x14ac:dyDescent="0.2">
      <c r="A1798" s="40">
        <v>7344</v>
      </c>
      <c r="B1798" s="39" t="s">
        <v>2573</v>
      </c>
      <c r="C1798" s="40" t="s">
        <v>1806</v>
      </c>
      <c r="D1798" s="75" t="s">
        <v>1269</v>
      </c>
      <c r="E1798" s="75" t="s">
        <v>1266</v>
      </c>
      <c r="F1798" s="75" t="s">
        <v>1268</v>
      </c>
      <c r="G1798" s="75" t="s">
        <v>1267</v>
      </c>
    </row>
    <row r="1799" spans="1:7" x14ac:dyDescent="0.2">
      <c r="A1799" s="40">
        <v>7350</v>
      </c>
      <c r="B1799" s="39" t="s">
        <v>2574</v>
      </c>
      <c r="C1799" s="40" t="s">
        <v>1806</v>
      </c>
      <c r="D1799" s="75" t="s">
        <v>1269</v>
      </c>
      <c r="E1799" s="75" t="s">
        <v>1266</v>
      </c>
      <c r="F1799" s="75" t="s">
        <v>1268</v>
      </c>
      <c r="G1799" s="75" t="s">
        <v>1268</v>
      </c>
    </row>
    <row r="1800" spans="1:7" x14ac:dyDescent="0.2">
      <c r="A1800" s="40">
        <v>7361</v>
      </c>
      <c r="B1800" s="39" t="s">
        <v>2575</v>
      </c>
      <c r="C1800" s="40" t="s">
        <v>1806</v>
      </c>
      <c r="D1800" s="75" t="s">
        <v>1269</v>
      </c>
      <c r="E1800" s="75" t="s">
        <v>1266</v>
      </c>
      <c r="F1800" s="75" t="s">
        <v>1268</v>
      </c>
      <c r="G1800" s="75" t="s">
        <v>1267</v>
      </c>
    </row>
    <row r="1801" spans="1:7" x14ac:dyDescent="0.2">
      <c r="A1801" s="40">
        <v>7371</v>
      </c>
      <c r="B1801" s="39" t="s">
        <v>2576</v>
      </c>
      <c r="C1801" s="40" t="s">
        <v>1806</v>
      </c>
      <c r="D1801" s="75" t="s">
        <v>1269</v>
      </c>
      <c r="E1801" s="75" t="s">
        <v>1266</v>
      </c>
      <c r="F1801" s="75" t="s">
        <v>1268</v>
      </c>
      <c r="G1801" s="75" t="s">
        <v>1268</v>
      </c>
    </row>
    <row r="1802" spans="1:7" x14ac:dyDescent="0.2">
      <c r="A1802" s="40">
        <v>7372</v>
      </c>
      <c r="B1802" s="39" t="s">
        <v>2577</v>
      </c>
      <c r="C1802" s="40" t="s">
        <v>1806</v>
      </c>
      <c r="D1802" s="75" t="s">
        <v>1269</v>
      </c>
      <c r="E1802" s="75" t="s">
        <v>1266</v>
      </c>
      <c r="F1802" s="75" t="s">
        <v>1268</v>
      </c>
      <c r="G1802" s="75" t="s">
        <v>1267</v>
      </c>
    </row>
    <row r="1803" spans="1:7" x14ac:dyDescent="0.2">
      <c r="A1803" s="40">
        <v>7400</v>
      </c>
      <c r="B1803" s="39" t="s">
        <v>2578</v>
      </c>
      <c r="C1803" s="40" t="s">
        <v>1806</v>
      </c>
      <c r="D1803" s="75" t="s">
        <v>1269</v>
      </c>
      <c r="E1803" s="75" t="s">
        <v>1266</v>
      </c>
      <c r="F1803" s="75" t="s">
        <v>1268</v>
      </c>
      <c r="G1803" s="75" t="s">
        <v>1268</v>
      </c>
    </row>
    <row r="1804" spans="1:7" x14ac:dyDescent="0.2">
      <c r="A1804" s="40">
        <v>7411</v>
      </c>
      <c r="B1804" s="39" t="s">
        <v>2579</v>
      </c>
      <c r="C1804" s="40" t="s">
        <v>1806</v>
      </c>
      <c r="D1804" s="75" t="s">
        <v>1269</v>
      </c>
      <c r="E1804" s="75" t="s">
        <v>1266</v>
      </c>
      <c r="F1804" s="75" t="s">
        <v>1268</v>
      </c>
      <c r="G1804" s="75" t="s">
        <v>1268</v>
      </c>
    </row>
    <row r="1805" spans="1:7" x14ac:dyDescent="0.2">
      <c r="A1805" s="40">
        <v>7412</v>
      </c>
      <c r="B1805" s="39" t="s">
        <v>2580</v>
      </c>
      <c r="C1805" s="40" t="s">
        <v>1806</v>
      </c>
      <c r="D1805" s="75" t="s">
        <v>1269</v>
      </c>
      <c r="E1805" s="75" t="s">
        <v>1266</v>
      </c>
      <c r="F1805" s="75" t="s">
        <v>1268</v>
      </c>
      <c r="G1805" s="75" t="s">
        <v>1267</v>
      </c>
    </row>
    <row r="1806" spans="1:7" x14ac:dyDescent="0.2">
      <c r="A1806" s="40">
        <v>7421</v>
      </c>
      <c r="B1806" s="39" t="s">
        <v>2581</v>
      </c>
      <c r="C1806" s="40" t="s">
        <v>2582</v>
      </c>
      <c r="D1806" s="75" t="s">
        <v>1269</v>
      </c>
      <c r="E1806" s="75" t="s">
        <v>1266</v>
      </c>
      <c r="F1806" s="75" t="s">
        <v>1268</v>
      </c>
      <c r="G1806" s="75" t="s">
        <v>1267</v>
      </c>
    </row>
    <row r="1807" spans="1:7" x14ac:dyDescent="0.2">
      <c r="A1807" s="40">
        <v>7422</v>
      </c>
      <c r="B1807" s="39" t="s">
        <v>2583</v>
      </c>
      <c r="C1807" s="40" t="s">
        <v>1806</v>
      </c>
      <c r="D1807" s="75" t="s">
        <v>1269</v>
      </c>
      <c r="E1807" s="75" t="s">
        <v>1266</v>
      </c>
      <c r="F1807" s="75" t="s">
        <v>1268</v>
      </c>
      <c r="G1807" s="75" t="s">
        <v>1268</v>
      </c>
    </row>
    <row r="1808" spans="1:7" x14ac:dyDescent="0.2">
      <c r="A1808" s="40">
        <v>7423</v>
      </c>
      <c r="B1808" s="39" t="s">
        <v>2584</v>
      </c>
      <c r="C1808" s="40" t="s">
        <v>1806</v>
      </c>
      <c r="D1808" s="75" t="s">
        <v>1269</v>
      </c>
      <c r="E1808" s="75" t="s">
        <v>1266</v>
      </c>
      <c r="F1808" s="75" t="s">
        <v>1268</v>
      </c>
      <c r="G1808" s="75" t="s">
        <v>1268</v>
      </c>
    </row>
    <row r="1809" spans="1:7" x14ac:dyDescent="0.2">
      <c r="A1809" s="40">
        <v>7431</v>
      </c>
      <c r="B1809" s="39" t="s">
        <v>2585</v>
      </c>
      <c r="C1809" s="40" t="s">
        <v>1806</v>
      </c>
      <c r="D1809" s="75" t="s">
        <v>1269</v>
      </c>
      <c r="E1809" s="75" t="s">
        <v>1266</v>
      </c>
      <c r="F1809" s="75" t="s">
        <v>1268</v>
      </c>
      <c r="G1809" s="75" t="s">
        <v>1268</v>
      </c>
    </row>
    <row r="1810" spans="1:7" x14ac:dyDescent="0.2">
      <c r="A1810" s="40">
        <v>7432</v>
      </c>
      <c r="B1810" s="39" t="s">
        <v>2586</v>
      </c>
      <c r="C1810" s="40" t="s">
        <v>1806</v>
      </c>
      <c r="D1810" s="75" t="s">
        <v>1269</v>
      </c>
      <c r="E1810" s="75" t="s">
        <v>1266</v>
      </c>
      <c r="F1810" s="75" t="s">
        <v>1268</v>
      </c>
      <c r="G1810" s="75" t="s">
        <v>1268</v>
      </c>
    </row>
    <row r="1811" spans="1:7" x14ac:dyDescent="0.2">
      <c r="A1811" s="40">
        <v>7433</v>
      </c>
      <c r="B1811" s="39" t="s">
        <v>2587</v>
      </c>
      <c r="C1811" s="40" t="s">
        <v>1806</v>
      </c>
      <c r="D1811" s="75" t="s">
        <v>1269</v>
      </c>
      <c r="E1811" s="75" t="s">
        <v>1266</v>
      </c>
      <c r="F1811" s="75" t="s">
        <v>1268</v>
      </c>
      <c r="G1811" s="75" t="s">
        <v>1267</v>
      </c>
    </row>
    <row r="1812" spans="1:7" x14ac:dyDescent="0.2">
      <c r="A1812" s="40">
        <v>7434</v>
      </c>
      <c r="B1812" s="39" t="s">
        <v>2588</v>
      </c>
      <c r="C1812" s="40" t="s">
        <v>1806</v>
      </c>
      <c r="D1812" s="75" t="s">
        <v>1269</v>
      </c>
      <c r="E1812" s="75" t="s">
        <v>1266</v>
      </c>
      <c r="F1812" s="75" t="s">
        <v>1268</v>
      </c>
      <c r="G1812" s="75" t="s">
        <v>1268</v>
      </c>
    </row>
    <row r="1813" spans="1:7" x14ac:dyDescent="0.2">
      <c r="A1813" s="40">
        <v>7435</v>
      </c>
      <c r="B1813" s="39" t="s">
        <v>2589</v>
      </c>
      <c r="C1813" s="40" t="s">
        <v>1806</v>
      </c>
      <c r="D1813" s="75" t="s">
        <v>1269</v>
      </c>
      <c r="E1813" s="75" t="s">
        <v>1266</v>
      </c>
      <c r="F1813" s="75" t="s">
        <v>1268</v>
      </c>
      <c r="G1813" s="75" t="s">
        <v>1267</v>
      </c>
    </row>
    <row r="1814" spans="1:7" x14ac:dyDescent="0.2">
      <c r="A1814" s="40">
        <v>7441</v>
      </c>
      <c r="B1814" s="39" t="s">
        <v>0</v>
      </c>
      <c r="C1814" s="40" t="s">
        <v>1806</v>
      </c>
      <c r="D1814" s="75" t="s">
        <v>1269</v>
      </c>
      <c r="E1814" s="75" t="s">
        <v>1266</v>
      </c>
      <c r="F1814" s="75" t="s">
        <v>1268</v>
      </c>
      <c r="G1814" s="75" t="s">
        <v>1267</v>
      </c>
    </row>
    <row r="1815" spans="1:7" x14ac:dyDescent="0.2">
      <c r="A1815" s="40">
        <v>7442</v>
      </c>
      <c r="B1815" s="39" t="s">
        <v>1</v>
      </c>
      <c r="C1815" s="40" t="s">
        <v>1806</v>
      </c>
      <c r="D1815" s="75" t="s">
        <v>1269</v>
      </c>
      <c r="E1815" s="75" t="s">
        <v>1266</v>
      </c>
      <c r="F1815" s="75" t="s">
        <v>1268</v>
      </c>
      <c r="G1815" s="75" t="s">
        <v>1268</v>
      </c>
    </row>
    <row r="1816" spans="1:7" x14ac:dyDescent="0.2">
      <c r="A1816" s="40">
        <v>7443</v>
      </c>
      <c r="B1816" s="39" t="s">
        <v>2</v>
      </c>
      <c r="C1816" s="40" t="s">
        <v>1806</v>
      </c>
      <c r="D1816" s="75" t="s">
        <v>1269</v>
      </c>
      <c r="E1816" s="75" t="s">
        <v>1266</v>
      </c>
      <c r="F1816" s="75" t="s">
        <v>1268</v>
      </c>
      <c r="G1816" s="75" t="s">
        <v>1267</v>
      </c>
    </row>
    <row r="1817" spans="1:7" x14ac:dyDescent="0.2">
      <c r="A1817" s="40">
        <v>7444</v>
      </c>
      <c r="B1817" s="39" t="s">
        <v>3</v>
      </c>
      <c r="C1817" s="40" t="s">
        <v>1806</v>
      </c>
      <c r="D1817" s="75" t="s">
        <v>1269</v>
      </c>
      <c r="E1817" s="75" t="s">
        <v>1266</v>
      </c>
      <c r="F1817" s="75" t="s">
        <v>1268</v>
      </c>
      <c r="G1817" s="75" t="s">
        <v>1267</v>
      </c>
    </row>
    <row r="1818" spans="1:7" x14ac:dyDescent="0.2">
      <c r="A1818" s="40">
        <v>7451</v>
      </c>
      <c r="B1818" s="39" t="s">
        <v>4</v>
      </c>
      <c r="C1818" s="40" t="s">
        <v>1806</v>
      </c>
      <c r="D1818" s="75" t="s">
        <v>1269</v>
      </c>
      <c r="E1818" s="75" t="s">
        <v>1266</v>
      </c>
      <c r="F1818" s="75" t="s">
        <v>1268</v>
      </c>
      <c r="G1818" s="75" t="s">
        <v>1267</v>
      </c>
    </row>
    <row r="1819" spans="1:7" x14ac:dyDescent="0.2">
      <c r="A1819" s="40">
        <v>7452</v>
      </c>
      <c r="B1819" s="39" t="s">
        <v>5</v>
      </c>
      <c r="C1819" s="40" t="s">
        <v>1806</v>
      </c>
      <c r="D1819" s="75" t="s">
        <v>1269</v>
      </c>
      <c r="E1819" s="75" t="s">
        <v>1266</v>
      </c>
      <c r="F1819" s="75" t="s">
        <v>1268</v>
      </c>
      <c r="G1819" s="75" t="s">
        <v>1267</v>
      </c>
    </row>
    <row r="1820" spans="1:7" x14ac:dyDescent="0.2">
      <c r="A1820" s="40">
        <v>7453</v>
      </c>
      <c r="B1820" s="39" t="s">
        <v>6</v>
      </c>
      <c r="C1820" s="40" t="s">
        <v>1806</v>
      </c>
      <c r="D1820" s="75" t="s">
        <v>1269</v>
      </c>
      <c r="E1820" s="75" t="s">
        <v>1266</v>
      </c>
      <c r="F1820" s="75" t="s">
        <v>1268</v>
      </c>
      <c r="G1820" s="75" t="s">
        <v>1267</v>
      </c>
    </row>
    <row r="1821" spans="1:7" x14ac:dyDescent="0.2">
      <c r="A1821" s="40">
        <v>7461</v>
      </c>
      <c r="B1821" s="39" t="s">
        <v>7</v>
      </c>
      <c r="C1821" s="40" t="s">
        <v>1806</v>
      </c>
      <c r="D1821" s="75" t="s">
        <v>1269</v>
      </c>
      <c r="E1821" s="75" t="s">
        <v>1266</v>
      </c>
      <c r="F1821" s="75" t="s">
        <v>1268</v>
      </c>
      <c r="G1821" s="75" t="s">
        <v>1268</v>
      </c>
    </row>
    <row r="1822" spans="1:7" x14ac:dyDescent="0.2">
      <c r="A1822" s="40">
        <v>7463</v>
      </c>
      <c r="B1822" s="39" t="s">
        <v>8</v>
      </c>
      <c r="C1822" s="40" t="s">
        <v>1806</v>
      </c>
      <c r="D1822" s="75" t="s">
        <v>1269</v>
      </c>
      <c r="E1822" s="75" t="s">
        <v>1266</v>
      </c>
      <c r="F1822" s="75" t="s">
        <v>1268</v>
      </c>
      <c r="G1822" s="75" t="s">
        <v>1267</v>
      </c>
    </row>
    <row r="1823" spans="1:7" x14ac:dyDescent="0.2">
      <c r="A1823" s="40">
        <v>7464</v>
      </c>
      <c r="B1823" s="39" t="s">
        <v>9</v>
      </c>
      <c r="C1823" s="40" t="s">
        <v>1806</v>
      </c>
      <c r="D1823" s="75" t="s">
        <v>1269</v>
      </c>
      <c r="E1823" s="75" t="s">
        <v>1266</v>
      </c>
      <c r="F1823" s="75" t="s">
        <v>1268</v>
      </c>
      <c r="G1823" s="75" t="s">
        <v>1267</v>
      </c>
    </row>
    <row r="1824" spans="1:7" x14ac:dyDescent="0.2">
      <c r="A1824" s="40">
        <v>7471</v>
      </c>
      <c r="B1824" s="39" t="s">
        <v>10</v>
      </c>
      <c r="C1824" s="40" t="s">
        <v>1806</v>
      </c>
      <c r="D1824" s="75" t="s">
        <v>1269</v>
      </c>
      <c r="E1824" s="75" t="s">
        <v>1266</v>
      </c>
      <c r="F1824" s="75" t="s">
        <v>1268</v>
      </c>
      <c r="G1824" s="75" t="s">
        <v>1268</v>
      </c>
    </row>
    <row r="1825" spans="1:7" x14ac:dyDescent="0.2">
      <c r="A1825" s="40">
        <v>7472</v>
      </c>
      <c r="B1825" s="39" t="s">
        <v>11</v>
      </c>
      <c r="C1825" s="40" t="s">
        <v>1806</v>
      </c>
      <c r="D1825" s="75" t="s">
        <v>1269</v>
      </c>
      <c r="E1825" s="75" t="s">
        <v>1266</v>
      </c>
      <c r="F1825" s="75" t="s">
        <v>1268</v>
      </c>
      <c r="G1825" s="75" t="s">
        <v>1267</v>
      </c>
    </row>
    <row r="1826" spans="1:7" x14ac:dyDescent="0.2">
      <c r="A1826" s="40">
        <v>7473</v>
      </c>
      <c r="B1826" s="39" t="s">
        <v>12</v>
      </c>
      <c r="C1826" s="40" t="s">
        <v>1806</v>
      </c>
      <c r="D1826" s="75" t="s">
        <v>1269</v>
      </c>
      <c r="E1826" s="75" t="s">
        <v>1266</v>
      </c>
      <c r="F1826" s="75" t="s">
        <v>1268</v>
      </c>
      <c r="G1826" s="75" t="s">
        <v>1267</v>
      </c>
    </row>
    <row r="1827" spans="1:7" x14ac:dyDescent="0.2">
      <c r="A1827" s="40">
        <v>7474</v>
      </c>
      <c r="B1827" s="39" t="s">
        <v>13</v>
      </c>
      <c r="C1827" s="40" t="s">
        <v>1806</v>
      </c>
      <c r="D1827" s="75" t="s">
        <v>1269</v>
      </c>
      <c r="E1827" s="75" t="s">
        <v>1266</v>
      </c>
      <c r="F1827" s="75" t="s">
        <v>1268</v>
      </c>
      <c r="G1827" s="75" t="s">
        <v>1267</v>
      </c>
    </row>
    <row r="1828" spans="1:7" x14ac:dyDescent="0.2">
      <c r="A1828" s="40">
        <v>7501</v>
      </c>
      <c r="B1828" s="39" t="s">
        <v>14</v>
      </c>
      <c r="C1828" s="40" t="s">
        <v>1806</v>
      </c>
      <c r="D1828" s="75" t="s">
        <v>1269</v>
      </c>
      <c r="E1828" s="75" t="s">
        <v>1266</v>
      </c>
      <c r="F1828" s="75" t="s">
        <v>1268</v>
      </c>
      <c r="G1828" s="75" t="s">
        <v>1268</v>
      </c>
    </row>
    <row r="1829" spans="1:7" x14ac:dyDescent="0.2">
      <c r="A1829" s="40">
        <v>7503</v>
      </c>
      <c r="B1829" s="39" t="s">
        <v>15</v>
      </c>
      <c r="C1829" s="40" t="s">
        <v>1806</v>
      </c>
      <c r="D1829" s="75" t="s">
        <v>1269</v>
      </c>
      <c r="E1829" s="75" t="s">
        <v>1266</v>
      </c>
      <c r="F1829" s="75" t="s">
        <v>1268</v>
      </c>
      <c r="G1829" s="75" t="s">
        <v>1268</v>
      </c>
    </row>
    <row r="1830" spans="1:7" x14ac:dyDescent="0.2">
      <c r="A1830" s="40">
        <v>7511</v>
      </c>
      <c r="B1830" s="39" t="s">
        <v>16</v>
      </c>
      <c r="C1830" s="40" t="s">
        <v>1806</v>
      </c>
      <c r="D1830" s="75" t="s">
        <v>1269</v>
      </c>
      <c r="E1830" s="75" t="s">
        <v>1266</v>
      </c>
      <c r="F1830" s="75" t="s">
        <v>1268</v>
      </c>
      <c r="G1830" s="75" t="s">
        <v>1267</v>
      </c>
    </row>
    <row r="1831" spans="1:7" x14ac:dyDescent="0.2">
      <c r="A1831" s="40">
        <v>7512</v>
      </c>
      <c r="B1831" s="39" t="s">
        <v>17</v>
      </c>
      <c r="C1831" s="40" t="s">
        <v>1806</v>
      </c>
      <c r="D1831" s="75" t="s">
        <v>1269</v>
      </c>
      <c r="E1831" s="75" t="s">
        <v>1266</v>
      </c>
      <c r="F1831" s="75" t="s">
        <v>1268</v>
      </c>
      <c r="G1831" s="75" t="s">
        <v>1267</v>
      </c>
    </row>
    <row r="1832" spans="1:7" x14ac:dyDescent="0.2">
      <c r="A1832" s="40">
        <v>7521</v>
      </c>
      <c r="B1832" s="39" t="s">
        <v>18</v>
      </c>
      <c r="C1832" s="40" t="s">
        <v>1806</v>
      </c>
      <c r="D1832" s="75" t="s">
        <v>1269</v>
      </c>
      <c r="E1832" s="75" t="s">
        <v>1266</v>
      </c>
      <c r="F1832" s="75" t="s">
        <v>1268</v>
      </c>
      <c r="G1832" s="75" t="s">
        <v>1267</v>
      </c>
    </row>
    <row r="1833" spans="1:7" x14ac:dyDescent="0.2">
      <c r="A1833" s="40">
        <v>7522</v>
      </c>
      <c r="B1833" s="39" t="s">
        <v>19</v>
      </c>
      <c r="C1833" s="40" t="s">
        <v>1806</v>
      </c>
      <c r="D1833" s="75" t="s">
        <v>1269</v>
      </c>
      <c r="E1833" s="75" t="s">
        <v>1266</v>
      </c>
      <c r="F1833" s="75" t="s">
        <v>1268</v>
      </c>
      <c r="G1833" s="75" t="s">
        <v>1267</v>
      </c>
    </row>
    <row r="1834" spans="1:7" x14ac:dyDescent="0.2">
      <c r="A1834" s="40">
        <v>7531</v>
      </c>
      <c r="B1834" s="39" t="s">
        <v>20</v>
      </c>
      <c r="C1834" s="40" t="s">
        <v>1806</v>
      </c>
      <c r="D1834" s="75" t="s">
        <v>1269</v>
      </c>
      <c r="E1834" s="75" t="s">
        <v>1266</v>
      </c>
      <c r="F1834" s="75" t="s">
        <v>1268</v>
      </c>
      <c r="G1834" s="75" t="s">
        <v>1268</v>
      </c>
    </row>
    <row r="1835" spans="1:7" x14ac:dyDescent="0.2">
      <c r="A1835" s="40">
        <v>7532</v>
      </c>
      <c r="B1835" s="39" t="s">
        <v>21</v>
      </c>
      <c r="C1835" s="40" t="s">
        <v>1806</v>
      </c>
      <c r="D1835" s="75" t="s">
        <v>1269</v>
      </c>
      <c r="E1835" s="75" t="s">
        <v>1266</v>
      </c>
      <c r="F1835" s="75" t="s">
        <v>1268</v>
      </c>
      <c r="G1835" s="75" t="s">
        <v>1267</v>
      </c>
    </row>
    <row r="1836" spans="1:7" x14ac:dyDescent="0.2">
      <c r="A1836" s="40">
        <v>7533</v>
      </c>
      <c r="B1836" s="39" t="s">
        <v>22</v>
      </c>
      <c r="C1836" s="40" t="s">
        <v>1806</v>
      </c>
      <c r="D1836" s="75" t="s">
        <v>1269</v>
      </c>
      <c r="E1836" s="75" t="s">
        <v>1266</v>
      </c>
      <c r="F1836" s="75" t="s">
        <v>1268</v>
      </c>
      <c r="G1836" s="75" t="s">
        <v>1267</v>
      </c>
    </row>
    <row r="1837" spans="1:7" x14ac:dyDescent="0.2">
      <c r="A1837" s="40">
        <v>7534</v>
      </c>
      <c r="B1837" s="39" t="s">
        <v>23</v>
      </c>
      <c r="C1837" s="40" t="s">
        <v>1806</v>
      </c>
      <c r="D1837" s="75" t="s">
        <v>1269</v>
      </c>
      <c r="E1837" s="75" t="s">
        <v>1266</v>
      </c>
      <c r="F1837" s="75" t="s">
        <v>1268</v>
      </c>
      <c r="G1837" s="75" t="s">
        <v>1267</v>
      </c>
    </row>
    <row r="1838" spans="1:7" x14ac:dyDescent="0.2">
      <c r="A1838" s="40">
        <v>7535</v>
      </c>
      <c r="B1838" s="39" t="s">
        <v>24</v>
      </c>
      <c r="C1838" s="40" t="s">
        <v>1806</v>
      </c>
      <c r="D1838" s="75" t="s">
        <v>1269</v>
      </c>
      <c r="E1838" s="75" t="s">
        <v>1266</v>
      </c>
      <c r="F1838" s="75" t="s">
        <v>1268</v>
      </c>
      <c r="G1838" s="75" t="s">
        <v>1268</v>
      </c>
    </row>
    <row r="1839" spans="1:7" x14ac:dyDescent="0.2">
      <c r="A1839" s="40">
        <v>7540</v>
      </c>
      <c r="B1839" s="39" t="s">
        <v>25</v>
      </c>
      <c r="C1839" s="40" t="s">
        <v>1806</v>
      </c>
      <c r="D1839" s="75" t="s">
        <v>1269</v>
      </c>
      <c r="E1839" s="75" t="s">
        <v>1266</v>
      </c>
      <c r="F1839" s="75" t="s">
        <v>1268</v>
      </c>
      <c r="G1839" s="75" t="s">
        <v>1268</v>
      </c>
    </row>
    <row r="1840" spans="1:7" x14ac:dyDescent="0.2">
      <c r="A1840" s="40">
        <v>7542</v>
      </c>
      <c r="B1840" s="39" t="s">
        <v>26</v>
      </c>
      <c r="C1840" s="40" t="s">
        <v>1806</v>
      </c>
      <c r="D1840" s="75" t="s">
        <v>1269</v>
      </c>
      <c r="E1840" s="75" t="s">
        <v>1266</v>
      </c>
      <c r="F1840" s="75" t="s">
        <v>1268</v>
      </c>
      <c r="G1840" s="75" t="s">
        <v>1267</v>
      </c>
    </row>
    <row r="1841" spans="1:7" x14ac:dyDescent="0.2">
      <c r="A1841" s="40">
        <v>7543</v>
      </c>
      <c r="B1841" s="39" t="s">
        <v>27</v>
      </c>
      <c r="C1841" s="40" t="s">
        <v>1806</v>
      </c>
      <c r="D1841" s="75" t="s">
        <v>1269</v>
      </c>
      <c r="E1841" s="75" t="s">
        <v>1266</v>
      </c>
      <c r="F1841" s="75" t="s">
        <v>1268</v>
      </c>
      <c r="G1841" s="75" t="s">
        <v>1267</v>
      </c>
    </row>
    <row r="1842" spans="1:7" x14ac:dyDescent="0.2">
      <c r="A1842" s="40">
        <v>7551</v>
      </c>
      <c r="B1842" s="39" t="s">
        <v>28</v>
      </c>
      <c r="C1842" s="40" t="s">
        <v>1806</v>
      </c>
      <c r="D1842" s="75" t="s">
        <v>1269</v>
      </c>
      <c r="E1842" s="75" t="s">
        <v>1266</v>
      </c>
      <c r="F1842" s="75" t="s">
        <v>1268</v>
      </c>
      <c r="G1842" s="75" t="s">
        <v>1268</v>
      </c>
    </row>
    <row r="1843" spans="1:7" x14ac:dyDescent="0.2">
      <c r="A1843" s="40">
        <v>7552</v>
      </c>
      <c r="B1843" s="39" t="s">
        <v>29</v>
      </c>
      <c r="C1843" s="40" t="s">
        <v>1806</v>
      </c>
      <c r="D1843" s="75" t="s">
        <v>1269</v>
      </c>
      <c r="E1843" s="75" t="s">
        <v>1266</v>
      </c>
      <c r="F1843" s="75" t="s">
        <v>1268</v>
      </c>
      <c r="G1843" s="75" t="s">
        <v>1267</v>
      </c>
    </row>
    <row r="1844" spans="1:7" x14ac:dyDescent="0.2">
      <c r="A1844" s="40">
        <v>7561</v>
      </c>
      <c r="B1844" s="39" t="s">
        <v>30</v>
      </c>
      <c r="C1844" s="40" t="s">
        <v>1806</v>
      </c>
      <c r="D1844" s="75" t="s">
        <v>1269</v>
      </c>
      <c r="E1844" s="75" t="s">
        <v>1266</v>
      </c>
      <c r="F1844" s="75" t="s">
        <v>1268</v>
      </c>
      <c r="G1844" s="75" t="s">
        <v>1268</v>
      </c>
    </row>
    <row r="1845" spans="1:7" x14ac:dyDescent="0.2">
      <c r="A1845" s="40">
        <v>7562</v>
      </c>
      <c r="B1845" s="39" t="s">
        <v>31</v>
      </c>
      <c r="C1845" s="40" t="s">
        <v>1806</v>
      </c>
      <c r="D1845" s="75" t="s">
        <v>1269</v>
      </c>
      <c r="E1845" s="75" t="s">
        <v>1266</v>
      </c>
      <c r="F1845" s="75" t="s">
        <v>1268</v>
      </c>
      <c r="G1845" s="75" t="s">
        <v>1267</v>
      </c>
    </row>
    <row r="1846" spans="1:7" x14ac:dyDescent="0.2">
      <c r="A1846" s="40">
        <v>7563</v>
      </c>
      <c r="B1846" s="39" t="s">
        <v>32</v>
      </c>
      <c r="C1846" s="40" t="s">
        <v>1806</v>
      </c>
      <c r="D1846" s="75" t="s">
        <v>1269</v>
      </c>
      <c r="E1846" s="75" t="s">
        <v>1266</v>
      </c>
      <c r="F1846" s="75" t="s">
        <v>1268</v>
      </c>
      <c r="G1846" s="75" t="s">
        <v>1267</v>
      </c>
    </row>
    <row r="1847" spans="1:7" x14ac:dyDescent="0.2">
      <c r="A1847" s="40">
        <v>7564</v>
      </c>
      <c r="B1847" s="39" t="s">
        <v>2200</v>
      </c>
      <c r="C1847" s="40" t="s">
        <v>1806</v>
      </c>
      <c r="D1847" s="75" t="s">
        <v>1269</v>
      </c>
      <c r="E1847" s="75" t="s">
        <v>1266</v>
      </c>
      <c r="F1847" s="75" t="s">
        <v>1268</v>
      </c>
      <c r="G1847" s="75" t="s">
        <v>1267</v>
      </c>
    </row>
    <row r="1848" spans="1:7" x14ac:dyDescent="0.2">
      <c r="A1848" s="40">
        <v>7571</v>
      </c>
      <c r="B1848" s="39" t="s">
        <v>2201</v>
      </c>
      <c r="C1848" s="40" t="s">
        <v>1806</v>
      </c>
      <c r="D1848" s="75" t="s">
        <v>1269</v>
      </c>
      <c r="E1848" s="75" t="s">
        <v>1266</v>
      </c>
      <c r="F1848" s="75" t="s">
        <v>1268</v>
      </c>
      <c r="G1848" s="75" t="s">
        <v>1268</v>
      </c>
    </row>
    <row r="1849" spans="1:7" x14ac:dyDescent="0.2">
      <c r="A1849" s="40">
        <v>7572</v>
      </c>
      <c r="B1849" s="39" t="s">
        <v>2202</v>
      </c>
      <c r="C1849" s="40" t="s">
        <v>1806</v>
      </c>
      <c r="D1849" s="75" t="s">
        <v>1269</v>
      </c>
      <c r="E1849" s="75" t="s">
        <v>1266</v>
      </c>
      <c r="F1849" s="75" t="s">
        <v>1268</v>
      </c>
      <c r="G1849" s="75" t="s">
        <v>1267</v>
      </c>
    </row>
    <row r="1850" spans="1:7" x14ac:dyDescent="0.2">
      <c r="A1850" s="40">
        <v>8010</v>
      </c>
      <c r="B1850" s="39" t="s">
        <v>174</v>
      </c>
      <c r="C1850" s="40" t="s">
        <v>2582</v>
      </c>
      <c r="D1850" s="75" t="s">
        <v>1269</v>
      </c>
      <c r="E1850" s="75" t="s">
        <v>1266</v>
      </c>
      <c r="F1850" s="75" t="s">
        <v>1268</v>
      </c>
      <c r="G1850" s="75" t="s">
        <v>1268</v>
      </c>
    </row>
    <row r="1851" spans="1:7" x14ac:dyDescent="0.2">
      <c r="A1851" s="40">
        <v>8011</v>
      </c>
      <c r="B1851" s="39" t="s">
        <v>2203</v>
      </c>
      <c r="C1851" s="40" t="s">
        <v>2582</v>
      </c>
      <c r="D1851" s="75" t="s">
        <v>1271</v>
      </c>
      <c r="E1851" s="75" t="s">
        <v>1266</v>
      </c>
      <c r="F1851" s="75" t="s">
        <v>1267</v>
      </c>
      <c r="G1851" s="75" t="s">
        <v>1268</v>
      </c>
    </row>
    <row r="1852" spans="1:7" x14ac:dyDescent="0.2">
      <c r="A1852" s="40">
        <v>8013</v>
      </c>
      <c r="B1852" s="39" t="s">
        <v>174</v>
      </c>
      <c r="C1852" s="40" t="s">
        <v>2582</v>
      </c>
      <c r="D1852" s="75" t="s">
        <v>1271</v>
      </c>
      <c r="E1852" s="75" t="s">
        <v>1266</v>
      </c>
      <c r="F1852" s="75" t="s">
        <v>1267</v>
      </c>
      <c r="G1852" s="75" t="s">
        <v>1268</v>
      </c>
    </row>
    <row r="1853" spans="1:7" x14ac:dyDescent="0.2">
      <c r="A1853" s="40">
        <v>8015</v>
      </c>
      <c r="B1853" s="39" t="s">
        <v>174</v>
      </c>
      <c r="C1853" s="40" t="s">
        <v>2582</v>
      </c>
      <c r="D1853" s="75" t="s">
        <v>1271</v>
      </c>
      <c r="E1853" s="75" t="s">
        <v>1266</v>
      </c>
      <c r="F1853" s="75" t="s">
        <v>1267</v>
      </c>
      <c r="G1853" s="75" t="s">
        <v>1268</v>
      </c>
    </row>
    <row r="1854" spans="1:7" x14ac:dyDescent="0.2">
      <c r="A1854" s="40">
        <v>8016</v>
      </c>
      <c r="B1854" s="39" t="s">
        <v>174</v>
      </c>
      <c r="C1854" s="40" t="s">
        <v>2582</v>
      </c>
      <c r="D1854" s="75" t="s">
        <v>1271</v>
      </c>
      <c r="E1854" s="75" t="s">
        <v>1266</v>
      </c>
      <c r="F1854" s="75" t="s">
        <v>1267</v>
      </c>
      <c r="G1854" s="75" t="s">
        <v>1268</v>
      </c>
    </row>
    <row r="1855" spans="1:7" x14ac:dyDescent="0.2">
      <c r="A1855" s="40">
        <v>8017</v>
      </c>
      <c r="B1855" s="39" t="s">
        <v>174</v>
      </c>
      <c r="C1855" s="40" t="s">
        <v>2582</v>
      </c>
      <c r="D1855" s="75" t="s">
        <v>1271</v>
      </c>
      <c r="E1855" s="75" t="s">
        <v>1266</v>
      </c>
      <c r="F1855" s="75" t="s">
        <v>1267</v>
      </c>
      <c r="G1855" s="75" t="s">
        <v>1268</v>
      </c>
    </row>
    <row r="1856" spans="1:7" x14ac:dyDescent="0.2">
      <c r="A1856" s="40">
        <v>8018</v>
      </c>
      <c r="B1856" s="39" t="s">
        <v>174</v>
      </c>
      <c r="C1856" s="40" t="s">
        <v>2582</v>
      </c>
      <c r="D1856" s="75" t="s">
        <v>1271</v>
      </c>
      <c r="E1856" s="75" t="s">
        <v>1266</v>
      </c>
      <c r="F1856" s="75" t="s">
        <v>1267</v>
      </c>
      <c r="G1856" s="75" t="s">
        <v>1268</v>
      </c>
    </row>
    <row r="1857" spans="1:7" x14ac:dyDescent="0.2">
      <c r="A1857" s="40">
        <v>8019</v>
      </c>
      <c r="B1857" s="39" t="s">
        <v>174</v>
      </c>
      <c r="C1857" s="40" t="s">
        <v>2582</v>
      </c>
      <c r="D1857" s="75" t="s">
        <v>1271</v>
      </c>
      <c r="E1857" s="75" t="s">
        <v>1266</v>
      </c>
      <c r="F1857" s="75" t="s">
        <v>1267</v>
      </c>
      <c r="G1857" s="75" t="s">
        <v>1268</v>
      </c>
    </row>
    <row r="1858" spans="1:7" x14ac:dyDescent="0.2">
      <c r="A1858" s="40">
        <v>8020</v>
      </c>
      <c r="B1858" s="39" t="s">
        <v>174</v>
      </c>
      <c r="C1858" s="40" t="s">
        <v>2582</v>
      </c>
      <c r="D1858" s="75" t="s">
        <v>1269</v>
      </c>
      <c r="E1858" s="75" t="s">
        <v>1266</v>
      </c>
      <c r="F1858" s="75" t="s">
        <v>1268</v>
      </c>
      <c r="G1858" s="75" t="s">
        <v>1268</v>
      </c>
    </row>
    <row r="1859" spans="1:7" x14ac:dyDescent="0.2">
      <c r="A1859" s="40">
        <v>8021</v>
      </c>
      <c r="B1859" s="39" t="s">
        <v>2203</v>
      </c>
      <c r="C1859" s="40" t="s">
        <v>2582</v>
      </c>
      <c r="D1859" s="75" t="s">
        <v>1271</v>
      </c>
      <c r="E1859" s="75" t="s">
        <v>1266</v>
      </c>
      <c r="F1859" s="75" t="s">
        <v>1267</v>
      </c>
      <c r="G1859" s="75" t="s">
        <v>1268</v>
      </c>
    </row>
    <row r="1860" spans="1:7" x14ac:dyDescent="0.2">
      <c r="A1860" s="40">
        <v>8022</v>
      </c>
      <c r="B1860" s="39" t="s">
        <v>174</v>
      </c>
      <c r="C1860" s="40" t="s">
        <v>2582</v>
      </c>
      <c r="D1860" s="75" t="s">
        <v>1271</v>
      </c>
      <c r="E1860" s="75" t="s">
        <v>1266</v>
      </c>
      <c r="F1860" s="75" t="s">
        <v>1267</v>
      </c>
      <c r="G1860" s="75" t="s">
        <v>1268</v>
      </c>
    </row>
    <row r="1861" spans="1:7" x14ac:dyDescent="0.2">
      <c r="A1861" s="40">
        <v>8023</v>
      </c>
      <c r="B1861" s="39" t="s">
        <v>174</v>
      </c>
      <c r="C1861" s="40" t="s">
        <v>2582</v>
      </c>
      <c r="D1861" s="75" t="s">
        <v>1271</v>
      </c>
      <c r="E1861" s="75" t="s">
        <v>1266</v>
      </c>
      <c r="F1861" s="75" t="s">
        <v>1267</v>
      </c>
      <c r="G1861" s="75" t="s">
        <v>1268</v>
      </c>
    </row>
    <row r="1862" spans="1:7" x14ac:dyDescent="0.2">
      <c r="A1862" s="40">
        <v>8024</v>
      </c>
      <c r="B1862" s="39" t="s">
        <v>174</v>
      </c>
      <c r="C1862" s="40" t="s">
        <v>2582</v>
      </c>
      <c r="D1862" s="75" t="s">
        <v>1271</v>
      </c>
      <c r="E1862" s="75" t="s">
        <v>1266</v>
      </c>
      <c r="F1862" s="75" t="s">
        <v>1267</v>
      </c>
      <c r="G1862" s="75" t="s">
        <v>1268</v>
      </c>
    </row>
    <row r="1863" spans="1:7" x14ac:dyDescent="0.2">
      <c r="A1863" s="40">
        <v>8025</v>
      </c>
      <c r="B1863" s="39" t="s">
        <v>174</v>
      </c>
      <c r="C1863" s="40" t="s">
        <v>2582</v>
      </c>
      <c r="D1863" s="75" t="s">
        <v>1271</v>
      </c>
      <c r="E1863" s="75" t="s">
        <v>1266</v>
      </c>
      <c r="F1863" s="75" t="s">
        <v>1267</v>
      </c>
      <c r="G1863" s="75" t="s">
        <v>1268</v>
      </c>
    </row>
    <row r="1864" spans="1:7" x14ac:dyDescent="0.2">
      <c r="A1864" s="40">
        <v>8026</v>
      </c>
      <c r="B1864" s="39" t="s">
        <v>174</v>
      </c>
      <c r="C1864" s="40" t="s">
        <v>2582</v>
      </c>
      <c r="D1864" s="75" t="s">
        <v>1271</v>
      </c>
      <c r="E1864" s="75" t="s">
        <v>1266</v>
      </c>
      <c r="F1864" s="75" t="s">
        <v>1267</v>
      </c>
      <c r="G1864" s="75" t="s">
        <v>1268</v>
      </c>
    </row>
    <row r="1865" spans="1:7" x14ac:dyDescent="0.2">
      <c r="A1865" s="40">
        <v>8027</v>
      </c>
      <c r="B1865" s="39" t="s">
        <v>174</v>
      </c>
      <c r="C1865" s="40" t="s">
        <v>2582</v>
      </c>
      <c r="D1865" s="75" t="s">
        <v>1271</v>
      </c>
      <c r="E1865" s="75" t="s">
        <v>1266</v>
      </c>
      <c r="F1865" s="75" t="s">
        <v>1267</v>
      </c>
      <c r="G1865" s="75" t="s">
        <v>1268</v>
      </c>
    </row>
    <row r="1866" spans="1:7" x14ac:dyDescent="0.2">
      <c r="A1866" s="40">
        <v>8028</v>
      </c>
      <c r="B1866" s="39" t="s">
        <v>174</v>
      </c>
      <c r="C1866" s="40" t="s">
        <v>2582</v>
      </c>
      <c r="D1866" s="75" t="s">
        <v>1271</v>
      </c>
      <c r="E1866" s="75" t="s">
        <v>1266</v>
      </c>
      <c r="F1866" s="75" t="s">
        <v>1267</v>
      </c>
      <c r="G1866" s="75" t="s">
        <v>1268</v>
      </c>
    </row>
    <row r="1867" spans="1:7" x14ac:dyDescent="0.2">
      <c r="A1867" s="40">
        <v>8029</v>
      </c>
      <c r="B1867" s="39" t="s">
        <v>174</v>
      </c>
      <c r="C1867" s="40" t="s">
        <v>2582</v>
      </c>
      <c r="D1867" s="75" t="s">
        <v>1271</v>
      </c>
      <c r="E1867" s="75" t="s">
        <v>1266</v>
      </c>
      <c r="F1867" s="75" t="s">
        <v>1267</v>
      </c>
      <c r="G1867" s="75" t="s">
        <v>1268</v>
      </c>
    </row>
    <row r="1868" spans="1:7" x14ac:dyDescent="0.2">
      <c r="A1868" s="40">
        <v>8035</v>
      </c>
      <c r="B1868" s="39" t="s">
        <v>174</v>
      </c>
      <c r="C1868" s="40" t="s">
        <v>2582</v>
      </c>
      <c r="D1868" s="75" t="s">
        <v>1271</v>
      </c>
      <c r="E1868" s="75" t="s">
        <v>1266</v>
      </c>
      <c r="F1868" s="75" t="s">
        <v>1267</v>
      </c>
      <c r="G1868" s="75" t="s">
        <v>1268</v>
      </c>
    </row>
    <row r="1869" spans="1:7" x14ac:dyDescent="0.2">
      <c r="A1869" s="40">
        <v>8036</v>
      </c>
      <c r="B1869" s="39" t="s">
        <v>174</v>
      </c>
      <c r="C1869" s="40" t="s">
        <v>2582</v>
      </c>
      <c r="D1869" s="75" t="s">
        <v>1269</v>
      </c>
      <c r="E1869" s="75" t="s">
        <v>1266</v>
      </c>
      <c r="F1869" s="75" t="s">
        <v>1268</v>
      </c>
      <c r="G1869" s="75" t="s">
        <v>1268</v>
      </c>
    </row>
    <row r="1870" spans="1:7" x14ac:dyDescent="0.2">
      <c r="A1870" s="40">
        <v>8041</v>
      </c>
      <c r="B1870" s="39" t="s">
        <v>2204</v>
      </c>
      <c r="C1870" s="40" t="s">
        <v>2582</v>
      </c>
      <c r="D1870" s="75" t="s">
        <v>1269</v>
      </c>
      <c r="E1870" s="75" t="s">
        <v>1266</v>
      </c>
      <c r="F1870" s="75" t="s">
        <v>1268</v>
      </c>
      <c r="G1870" s="75" t="s">
        <v>1268</v>
      </c>
    </row>
    <row r="1871" spans="1:7" x14ac:dyDescent="0.2">
      <c r="A1871" s="40">
        <v>8042</v>
      </c>
      <c r="B1871" s="39" t="s">
        <v>2205</v>
      </c>
      <c r="C1871" s="40" t="s">
        <v>2582</v>
      </c>
      <c r="D1871" s="75" t="s">
        <v>1269</v>
      </c>
      <c r="E1871" s="75" t="s">
        <v>1266</v>
      </c>
      <c r="F1871" s="75" t="s">
        <v>1268</v>
      </c>
      <c r="G1871" s="75" t="s">
        <v>1268</v>
      </c>
    </row>
    <row r="1872" spans="1:7" x14ac:dyDescent="0.2">
      <c r="A1872" s="40">
        <v>8043</v>
      </c>
      <c r="B1872" s="39" t="s">
        <v>2206</v>
      </c>
      <c r="C1872" s="40" t="s">
        <v>2582</v>
      </c>
      <c r="D1872" s="75" t="s">
        <v>1269</v>
      </c>
      <c r="E1872" s="75" t="s">
        <v>1266</v>
      </c>
      <c r="F1872" s="75" t="s">
        <v>1268</v>
      </c>
      <c r="G1872" s="75" t="s">
        <v>1268</v>
      </c>
    </row>
    <row r="1873" spans="1:7" x14ac:dyDescent="0.2">
      <c r="A1873" s="40">
        <v>8044</v>
      </c>
      <c r="B1873" s="39" t="s">
        <v>2207</v>
      </c>
      <c r="C1873" s="40" t="s">
        <v>2582</v>
      </c>
      <c r="D1873" s="75" t="s">
        <v>1269</v>
      </c>
      <c r="E1873" s="75" t="s">
        <v>1266</v>
      </c>
      <c r="F1873" s="75" t="s">
        <v>1268</v>
      </c>
      <c r="G1873" s="75" t="s">
        <v>1268</v>
      </c>
    </row>
    <row r="1874" spans="1:7" x14ac:dyDescent="0.2">
      <c r="A1874" s="40">
        <v>8045</v>
      </c>
      <c r="B1874" s="39" t="s">
        <v>2208</v>
      </c>
      <c r="C1874" s="40" t="s">
        <v>2582</v>
      </c>
      <c r="D1874" s="75" t="s">
        <v>1269</v>
      </c>
      <c r="E1874" s="75" t="s">
        <v>1266</v>
      </c>
      <c r="F1874" s="75" t="s">
        <v>1268</v>
      </c>
      <c r="G1874" s="75" t="s">
        <v>1268</v>
      </c>
    </row>
    <row r="1875" spans="1:7" x14ac:dyDescent="0.2">
      <c r="A1875" s="40">
        <v>8046</v>
      </c>
      <c r="B1875" s="39" t="s">
        <v>2209</v>
      </c>
      <c r="C1875" s="40" t="s">
        <v>2582</v>
      </c>
      <c r="D1875" s="75" t="s">
        <v>1269</v>
      </c>
      <c r="E1875" s="75" t="s">
        <v>1266</v>
      </c>
      <c r="F1875" s="75" t="s">
        <v>1268</v>
      </c>
      <c r="G1875" s="75" t="s">
        <v>1267</v>
      </c>
    </row>
    <row r="1876" spans="1:7" x14ac:dyDescent="0.2">
      <c r="A1876" s="40">
        <v>8047</v>
      </c>
      <c r="B1876" s="39" t="s">
        <v>2215</v>
      </c>
      <c r="C1876" s="40" t="s">
        <v>2582</v>
      </c>
      <c r="D1876" s="75" t="s">
        <v>1269</v>
      </c>
      <c r="E1876" s="75" t="s">
        <v>1266</v>
      </c>
      <c r="F1876" s="75" t="s">
        <v>1268</v>
      </c>
      <c r="G1876" s="75" t="s">
        <v>1268</v>
      </c>
    </row>
    <row r="1877" spans="1:7" x14ac:dyDescent="0.2">
      <c r="A1877" s="40">
        <v>8051</v>
      </c>
      <c r="B1877" s="39" t="s">
        <v>2216</v>
      </c>
      <c r="C1877" s="40" t="s">
        <v>2582</v>
      </c>
      <c r="D1877" s="75" t="s">
        <v>1269</v>
      </c>
      <c r="E1877" s="75" t="s">
        <v>1266</v>
      </c>
      <c r="F1877" s="75" t="s">
        <v>1268</v>
      </c>
      <c r="G1877" s="75" t="s">
        <v>1268</v>
      </c>
    </row>
    <row r="1878" spans="1:7" x14ac:dyDescent="0.2">
      <c r="A1878" s="40">
        <v>8052</v>
      </c>
      <c r="B1878" s="39" t="s">
        <v>2217</v>
      </c>
      <c r="C1878" s="40" t="s">
        <v>2582</v>
      </c>
      <c r="D1878" s="75" t="s">
        <v>1269</v>
      </c>
      <c r="E1878" s="75" t="s">
        <v>1266</v>
      </c>
      <c r="F1878" s="75" t="s">
        <v>1268</v>
      </c>
      <c r="G1878" s="75" t="s">
        <v>1268</v>
      </c>
    </row>
    <row r="1879" spans="1:7" x14ac:dyDescent="0.2">
      <c r="A1879" s="40">
        <v>8053</v>
      </c>
      <c r="B1879" s="39" t="s">
        <v>2218</v>
      </c>
      <c r="C1879" s="40" t="s">
        <v>2582</v>
      </c>
      <c r="D1879" s="75" t="s">
        <v>1269</v>
      </c>
      <c r="E1879" s="75" t="s">
        <v>1266</v>
      </c>
      <c r="F1879" s="75" t="s">
        <v>1268</v>
      </c>
      <c r="G1879" s="75" t="s">
        <v>1268</v>
      </c>
    </row>
    <row r="1880" spans="1:7" x14ac:dyDescent="0.2">
      <c r="A1880" s="40">
        <v>8054</v>
      </c>
      <c r="B1880" s="39" t="s">
        <v>2219</v>
      </c>
      <c r="C1880" s="40" t="s">
        <v>2582</v>
      </c>
      <c r="D1880" s="75" t="s">
        <v>1269</v>
      </c>
      <c r="E1880" s="75" t="s">
        <v>1266</v>
      </c>
      <c r="F1880" s="75" t="s">
        <v>1268</v>
      </c>
      <c r="G1880" s="75" t="s">
        <v>1268</v>
      </c>
    </row>
    <row r="1881" spans="1:7" x14ac:dyDescent="0.2">
      <c r="A1881" s="40">
        <v>8055</v>
      </c>
      <c r="B1881" s="39" t="s">
        <v>2220</v>
      </c>
      <c r="C1881" s="40" t="s">
        <v>2582</v>
      </c>
      <c r="D1881" s="75" t="s">
        <v>1269</v>
      </c>
      <c r="E1881" s="75" t="s">
        <v>1266</v>
      </c>
      <c r="F1881" s="75" t="s">
        <v>1268</v>
      </c>
      <c r="G1881" s="75" t="s">
        <v>1268</v>
      </c>
    </row>
    <row r="1882" spans="1:7" x14ac:dyDescent="0.2">
      <c r="A1882" s="40">
        <v>8061</v>
      </c>
      <c r="B1882" s="39" t="s">
        <v>2222</v>
      </c>
      <c r="C1882" s="40" t="s">
        <v>2582</v>
      </c>
      <c r="D1882" s="75" t="s">
        <v>1269</v>
      </c>
      <c r="E1882" s="75" t="s">
        <v>1266</v>
      </c>
      <c r="F1882" s="75" t="s">
        <v>1268</v>
      </c>
      <c r="G1882" s="75" t="s">
        <v>1268</v>
      </c>
    </row>
    <row r="1883" spans="1:7" x14ac:dyDescent="0.2">
      <c r="A1883" s="40">
        <v>8062</v>
      </c>
      <c r="B1883" s="39" t="s">
        <v>2223</v>
      </c>
      <c r="C1883" s="40" t="s">
        <v>2582</v>
      </c>
      <c r="D1883" s="75" t="s">
        <v>1269</v>
      </c>
      <c r="E1883" s="75" t="s">
        <v>1266</v>
      </c>
      <c r="F1883" s="75" t="s">
        <v>1268</v>
      </c>
      <c r="G1883" s="75" t="s">
        <v>1268</v>
      </c>
    </row>
    <row r="1884" spans="1:7" x14ac:dyDescent="0.2">
      <c r="A1884" s="40">
        <v>8063</v>
      </c>
      <c r="B1884" s="39" t="s">
        <v>2224</v>
      </c>
      <c r="C1884" s="40" t="s">
        <v>2582</v>
      </c>
      <c r="D1884" s="75" t="s">
        <v>1269</v>
      </c>
      <c r="E1884" s="75" t="s">
        <v>1266</v>
      </c>
      <c r="F1884" s="75" t="s">
        <v>1268</v>
      </c>
      <c r="G1884" s="75" t="s">
        <v>1268</v>
      </c>
    </row>
    <row r="1885" spans="1:7" x14ac:dyDescent="0.2">
      <c r="A1885" s="40">
        <v>8071</v>
      </c>
      <c r="B1885" s="39" t="s">
        <v>2225</v>
      </c>
      <c r="C1885" s="40" t="s">
        <v>2582</v>
      </c>
      <c r="D1885" s="75" t="s">
        <v>1269</v>
      </c>
      <c r="E1885" s="75" t="s">
        <v>1266</v>
      </c>
      <c r="F1885" s="75" t="s">
        <v>1268</v>
      </c>
      <c r="G1885" s="75" t="s">
        <v>1268</v>
      </c>
    </row>
    <row r="1886" spans="1:7" x14ac:dyDescent="0.2">
      <c r="A1886" s="40">
        <v>8072</v>
      </c>
      <c r="B1886" s="39" t="s">
        <v>2226</v>
      </c>
      <c r="C1886" s="40" t="s">
        <v>2582</v>
      </c>
      <c r="D1886" s="75" t="s">
        <v>1269</v>
      </c>
      <c r="E1886" s="75" t="s">
        <v>1266</v>
      </c>
      <c r="F1886" s="75" t="s">
        <v>1268</v>
      </c>
      <c r="G1886" s="75" t="s">
        <v>1268</v>
      </c>
    </row>
    <row r="1887" spans="1:7" x14ac:dyDescent="0.2">
      <c r="A1887" s="40">
        <v>8073</v>
      </c>
      <c r="B1887" s="39" t="s">
        <v>2227</v>
      </c>
      <c r="C1887" s="40" t="s">
        <v>2582</v>
      </c>
      <c r="D1887" s="75" t="s">
        <v>1269</v>
      </c>
      <c r="E1887" s="75" t="s">
        <v>1266</v>
      </c>
      <c r="F1887" s="75" t="s">
        <v>1268</v>
      </c>
      <c r="G1887" s="75" t="s">
        <v>1268</v>
      </c>
    </row>
    <row r="1888" spans="1:7" x14ac:dyDescent="0.2">
      <c r="A1888" s="40">
        <v>8074</v>
      </c>
      <c r="B1888" s="39" t="s">
        <v>2228</v>
      </c>
      <c r="C1888" s="40" t="s">
        <v>2582</v>
      </c>
      <c r="D1888" s="75" t="s">
        <v>1269</v>
      </c>
      <c r="E1888" s="75" t="s">
        <v>1266</v>
      </c>
      <c r="F1888" s="75" t="s">
        <v>1268</v>
      </c>
      <c r="G1888" s="75" t="s">
        <v>1268</v>
      </c>
    </row>
    <row r="1889" spans="1:7" x14ac:dyDescent="0.2">
      <c r="A1889" s="40">
        <v>8075</v>
      </c>
      <c r="B1889" s="39" t="s">
        <v>2229</v>
      </c>
      <c r="C1889" s="40" t="s">
        <v>2582</v>
      </c>
      <c r="D1889" s="75" t="s">
        <v>1269</v>
      </c>
      <c r="E1889" s="75" t="s">
        <v>1266</v>
      </c>
      <c r="F1889" s="75" t="s">
        <v>1268</v>
      </c>
      <c r="G1889" s="75" t="s">
        <v>1268</v>
      </c>
    </row>
    <row r="1890" spans="1:7" x14ac:dyDescent="0.2">
      <c r="A1890" s="40">
        <v>8081</v>
      </c>
      <c r="B1890" s="39" t="s">
        <v>2230</v>
      </c>
      <c r="C1890" s="40" t="s">
        <v>2582</v>
      </c>
      <c r="D1890" s="75" t="s">
        <v>1269</v>
      </c>
      <c r="E1890" s="75" t="s">
        <v>1266</v>
      </c>
      <c r="F1890" s="75" t="s">
        <v>1268</v>
      </c>
      <c r="G1890" s="75" t="s">
        <v>1268</v>
      </c>
    </row>
    <row r="1891" spans="1:7" x14ac:dyDescent="0.2">
      <c r="A1891" s="40">
        <v>8082</v>
      </c>
      <c r="B1891" s="39" t="s">
        <v>2231</v>
      </c>
      <c r="C1891" s="40" t="s">
        <v>2582</v>
      </c>
      <c r="D1891" s="75" t="s">
        <v>1269</v>
      </c>
      <c r="E1891" s="75" t="s">
        <v>1266</v>
      </c>
      <c r="F1891" s="75" t="s">
        <v>1268</v>
      </c>
      <c r="G1891" s="75" t="s">
        <v>1268</v>
      </c>
    </row>
    <row r="1892" spans="1:7" x14ac:dyDescent="0.2">
      <c r="A1892" s="40">
        <v>8083</v>
      </c>
      <c r="B1892" s="39" t="s">
        <v>2232</v>
      </c>
      <c r="C1892" s="40" t="s">
        <v>2582</v>
      </c>
      <c r="D1892" s="75" t="s">
        <v>1269</v>
      </c>
      <c r="E1892" s="75" t="s">
        <v>1266</v>
      </c>
      <c r="F1892" s="75" t="s">
        <v>1268</v>
      </c>
      <c r="G1892" s="75" t="s">
        <v>1268</v>
      </c>
    </row>
    <row r="1893" spans="1:7" x14ac:dyDescent="0.2">
      <c r="A1893" s="40">
        <v>8091</v>
      </c>
      <c r="B1893" s="39" t="s">
        <v>2233</v>
      </c>
      <c r="C1893" s="40" t="s">
        <v>2582</v>
      </c>
      <c r="D1893" s="75" t="s">
        <v>1269</v>
      </c>
      <c r="E1893" s="75" t="s">
        <v>1266</v>
      </c>
      <c r="F1893" s="75" t="s">
        <v>1268</v>
      </c>
      <c r="G1893" s="75" t="s">
        <v>1267</v>
      </c>
    </row>
    <row r="1894" spans="1:7" x14ac:dyDescent="0.2">
      <c r="A1894" s="40">
        <v>8092</v>
      </c>
      <c r="B1894" s="39" t="s">
        <v>2234</v>
      </c>
      <c r="C1894" s="40" t="s">
        <v>2582</v>
      </c>
      <c r="D1894" s="75" t="s">
        <v>1269</v>
      </c>
      <c r="E1894" s="75" t="s">
        <v>1266</v>
      </c>
      <c r="F1894" s="75" t="s">
        <v>1268</v>
      </c>
      <c r="G1894" s="75" t="s">
        <v>1267</v>
      </c>
    </row>
    <row r="1895" spans="1:7" x14ac:dyDescent="0.2">
      <c r="A1895" s="40">
        <v>8093</v>
      </c>
      <c r="B1895" s="39" t="s">
        <v>2235</v>
      </c>
      <c r="C1895" s="40" t="s">
        <v>2582</v>
      </c>
      <c r="D1895" s="75" t="s">
        <v>1269</v>
      </c>
      <c r="E1895" s="75" t="s">
        <v>1266</v>
      </c>
      <c r="F1895" s="75" t="s">
        <v>1268</v>
      </c>
      <c r="G1895" s="75" t="s">
        <v>1268</v>
      </c>
    </row>
    <row r="1896" spans="1:7" x14ac:dyDescent="0.2">
      <c r="A1896" s="40">
        <v>8101</v>
      </c>
      <c r="B1896" s="39" t="s">
        <v>2236</v>
      </c>
      <c r="C1896" s="40" t="s">
        <v>2582</v>
      </c>
      <c r="D1896" s="75" t="s">
        <v>1269</v>
      </c>
      <c r="E1896" s="75" t="s">
        <v>1266</v>
      </c>
      <c r="F1896" s="75" t="s">
        <v>1268</v>
      </c>
      <c r="G1896" s="75" t="s">
        <v>1268</v>
      </c>
    </row>
    <row r="1897" spans="1:7" x14ac:dyDescent="0.2">
      <c r="A1897" s="40">
        <v>8102</v>
      </c>
      <c r="B1897" s="39" t="s">
        <v>2237</v>
      </c>
      <c r="C1897" s="40" t="s">
        <v>2582</v>
      </c>
      <c r="D1897" s="75" t="s">
        <v>1269</v>
      </c>
      <c r="E1897" s="75" t="s">
        <v>1266</v>
      </c>
      <c r="F1897" s="75" t="s">
        <v>1268</v>
      </c>
      <c r="G1897" s="75" t="s">
        <v>1268</v>
      </c>
    </row>
    <row r="1898" spans="1:7" x14ac:dyDescent="0.2">
      <c r="A1898" s="40">
        <v>8103</v>
      </c>
      <c r="B1898" s="39" t="s">
        <v>2238</v>
      </c>
      <c r="C1898" s="40" t="s">
        <v>2582</v>
      </c>
      <c r="D1898" s="75" t="s">
        <v>1269</v>
      </c>
      <c r="E1898" s="75" t="s">
        <v>1266</v>
      </c>
      <c r="F1898" s="75" t="s">
        <v>1268</v>
      </c>
      <c r="G1898" s="75" t="s">
        <v>1267</v>
      </c>
    </row>
    <row r="1899" spans="1:7" x14ac:dyDescent="0.2">
      <c r="A1899" s="40">
        <v>8111</v>
      </c>
      <c r="B1899" s="39" t="s">
        <v>2239</v>
      </c>
      <c r="C1899" s="40" t="s">
        <v>2582</v>
      </c>
      <c r="D1899" s="75" t="s">
        <v>1269</v>
      </c>
      <c r="E1899" s="75" t="s">
        <v>1266</v>
      </c>
      <c r="F1899" s="75" t="s">
        <v>1268</v>
      </c>
      <c r="G1899" s="75" t="s">
        <v>1268</v>
      </c>
    </row>
    <row r="1900" spans="1:7" x14ac:dyDescent="0.2">
      <c r="A1900" s="40">
        <v>8112</v>
      </c>
      <c r="B1900" s="39" t="s">
        <v>2240</v>
      </c>
      <c r="C1900" s="40" t="s">
        <v>2582</v>
      </c>
      <c r="D1900" s="75" t="s">
        <v>1269</v>
      </c>
      <c r="E1900" s="75" t="s">
        <v>1266</v>
      </c>
      <c r="F1900" s="75" t="s">
        <v>1268</v>
      </c>
      <c r="G1900" s="75" t="s">
        <v>1268</v>
      </c>
    </row>
    <row r="1901" spans="1:7" x14ac:dyDescent="0.2">
      <c r="A1901" s="40">
        <v>8113</v>
      </c>
      <c r="B1901" s="39" t="s">
        <v>2241</v>
      </c>
      <c r="C1901" s="40" t="s">
        <v>2582</v>
      </c>
      <c r="D1901" s="75" t="s">
        <v>1269</v>
      </c>
      <c r="E1901" s="75" t="s">
        <v>1266</v>
      </c>
      <c r="F1901" s="75" t="s">
        <v>1268</v>
      </c>
      <c r="G1901" s="75" t="s">
        <v>1267</v>
      </c>
    </row>
    <row r="1902" spans="1:7" x14ac:dyDescent="0.2">
      <c r="A1902" s="40">
        <v>8114</v>
      </c>
      <c r="B1902" s="39" t="s">
        <v>2242</v>
      </c>
      <c r="C1902" s="40" t="s">
        <v>2582</v>
      </c>
      <c r="D1902" s="75" t="s">
        <v>1269</v>
      </c>
      <c r="E1902" s="75" t="s">
        <v>1266</v>
      </c>
      <c r="F1902" s="75" t="s">
        <v>1268</v>
      </c>
      <c r="G1902" s="75" t="s">
        <v>1267</v>
      </c>
    </row>
    <row r="1903" spans="1:7" x14ac:dyDescent="0.2">
      <c r="A1903" s="40">
        <v>8120</v>
      </c>
      <c r="B1903" s="39" t="s">
        <v>2243</v>
      </c>
      <c r="C1903" s="40" t="s">
        <v>2582</v>
      </c>
      <c r="D1903" s="75" t="s">
        <v>1269</v>
      </c>
      <c r="E1903" s="75" t="s">
        <v>1266</v>
      </c>
      <c r="F1903" s="75" t="s">
        <v>1268</v>
      </c>
      <c r="G1903" s="75" t="s">
        <v>1267</v>
      </c>
    </row>
    <row r="1904" spans="1:7" x14ac:dyDescent="0.2">
      <c r="A1904" s="40">
        <v>8121</v>
      </c>
      <c r="B1904" s="39" t="s">
        <v>2244</v>
      </c>
      <c r="C1904" s="40" t="s">
        <v>2582</v>
      </c>
      <c r="D1904" s="75" t="s">
        <v>1269</v>
      </c>
      <c r="E1904" s="75" t="s">
        <v>1266</v>
      </c>
      <c r="F1904" s="75" t="s">
        <v>1268</v>
      </c>
      <c r="G1904" s="75" t="s">
        <v>1268</v>
      </c>
    </row>
    <row r="1905" spans="1:7" x14ac:dyDescent="0.2">
      <c r="A1905" s="40">
        <v>8122</v>
      </c>
      <c r="B1905" s="39" t="s">
        <v>2245</v>
      </c>
      <c r="C1905" s="40" t="s">
        <v>2582</v>
      </c>
      <c r="D1905" s="75" t="s">
        <v>1269</v>
      </c>
      <c r="E1905" s="75" t="s">
        <v>1266</v>
      </c>
      <c r="F1905" s="75" t="s">
        <v>1268</v>
      </c>
      <c r="G1905" s="75" t="s">
        <v>1267</v>
      </c>
    </row>
    <row r="1906" spans="1:7" x14ac:dyDescent="0.2">
      <c r="A1906" s="40">
        <v>8124</v>
      </c>
      <c r="B1906" s="39" t="s">
        <v>2246</v>
      </c>
      <c r="C1906" s="40" t="s">
        <v>2582</v>
      </c>
      <c r="D1906" s="75" t="s">
        <v>1269</v>
      </c>
      <c r="E1906" s="75" t="s">
        <v>1266</v>
      </c>
      <c r="F1906" s="75" t="s">
        <v>1268</v>
      </c>
      <c r="G1906" s="75" t="s">
        <v>1268</v>
      </c>
    </row>
    <row r="1907" spans="1:7" x14ac:dyDescent="0.2">
      <c r="A1907" s="40">
        <v>8130</v>
      </c>
      <c r="B1907" s="39" t="s">
        <v>2247</v>
      </c>
      <c r="C1907" s="40" t="s">
        <v>2582</v>
      </c>
      <c r="D1907" s="75" t="s">
        <v>1269</v>
      </c>
      <c r="E1907" s="75" t="s">
        <v>1266</v>
      </c>
      <c r="F1907" s="75" t="s">
        <v>1268</v>
      </c>
      <c r="G1907" s="75" t="s">
        <v>1268</v>
      </c>
    </row>
    <row r="1908" spans="1:7" x14ac:dyDescent="0.2">
      <c r="A1908" s="40">
        <v>8131</v>
      </c>
      <c r="B1908" s="39" t="s">
        <v>2248</v>
      </c>
      <c r="C1908" s="40" t="s">
        <v>2582</v>
      </c>
      <c r="D1908" s="75" t="s">
        <v>1269</v>
      </c>
      <c r="E1908" s="75" t="s">
        <v>1266</v>
      </c>
      <c r="F1908" s="75" t="s">
        <v>1268</v>
      </c>
      <c r="G1908" s="75" t="s">
        <v>1267</v>
      </c>
    </row>
    <row r="1909" spans="1:7" x14ac:dyDescent="0.2">
      <c r="A1909" s="40">
        <v>8132</v>
      </c>
      <c r="B1909" s="39" t="s">
        <v>2249</v>
      </c>
      <c r="C1909" s="40" t="s">
        <v>2582</v>
      </c>
      <c r="D1909" s="75" t="s">
        <v>1269</v>
      </c>
      <c r="E1909" s="75" t="s">
        <v>1266</v>
      </c>
      <c r="F1909" s="75" t="s">
        <v>1268</v>
      </c>
      <c r="G1909" s="75" t="s">
        <v>1267</v>
      </c>
    </row>
    <row r="1910" spans="1:7" x14ac:dyDescent="0.2">
      <c r="A1910" s="40">
        <v>8141</v>
      </c>
      <c r="B1910" s="39" t="s">
        <v>2250</v>
      </c>
      <c r="C1910" s="40" t="s">
        <v>2582</v>
      </c>
      <c r="D1910" s="75" t="s">
        <v>1269</v>
      </c>
      <c r="E1910" s="75" t="s">
        <v>1266</v>
      </c>
      <c r="F1910" s="75" t="s">
        <v>1268</v>
      </c>
      <c r="G1910" s="75" t="s">
        <v>1268</v>
      </c>
    </row>
    <row r="1911" spans="1:7" x14ac:dyDescent="0.2">
      <c r="A1911" s="40">
        <v>8142</v>
      </c>
      <c r="B1911" s="39" t="s">
        <v>2251</v>
      </c>
      <c r="C1911" s="40" t="s">
        <v>2582</v>
      </c>
      <c r="D1911" s="75" t="s">
        <v>1269</v>
      </c>
      <c r="E1911" s="75" t="s">
        <v>1266</v>
      </c>
      <c r="F1911" s="75" t="s">
        <v>1268</v>
      </c>
      <c r="G1911" s="75" t="s">
        <v>1268</v>
      </c>
    </row>
    <row r="1912" spans="1:7" x14ac:dyDescent="0.2">
      <c r="A1912" s="40">
        <v>8143</v>
      </c>
      <c r="B1912" s="39" t="s">
        <v>2252</v>
      </c>
      <c r="C1912" s="40" t="s">
        <v>2582</v>
      </c>
      <c r="D1912" s="75" t="s">
        <v>1269</v>
      </c>
      <c r="E1912" s="75" t="s">
        <v>1266</v>
      </c>
      <c r="F1912" s="75" t="s">
        <v>1268</v>
      </c>
      <c r="G1912" s="75" t="s">
        <v>1267</v>
      </c>
    </row>
    <row r="1913" spans="1:7" x14ac:dyDescent="0.2">
      <c r="A1913" s="40">
        <v>8144</v>
      </c>
      <c r="B1913" s="39" t="s">
        <v>2253</v>
      </c>
      <c r="C1913" s="40" t="s">
        <v>2582</v>
      </c>
      <c r="D1913" s="75" t="s">
        <v>1269</v>
      </c>
      <c r="E1913" s="75" t="s">
        <v>1266</v>
      </c>
      <c r="F1913" s="75" t="s">
        <v>1268</v>
      </c>
      <c r="G1913" s="75" t="s">
        <v>1267</v>
      </c>
    </row>
    <row r="1914" spans="1:7" x14ac:dyDescent="0.2">
      <c r="A1914" s="40">
        <v>8151</v>
      </c>
      <c r="B1914" s="39" t="s">
        <v>2254</v>
      </c>
      <c r="C1914" s="40" t="s">
        <v>2582</v>
      </c>
      <c r="D1914" s="75" t="s">
        <v>1269</v>
      </c>
      <c r="E1914" s="75" t="s">
        <v>1266</v>
      </c>
      <c r="F1914" s="75" t="s">
        <v>1268</v>
      </c>
      <c r="G1914" s="75" t="s">
        <v>1268</v>
      </c>
    </row>
    <row r="1915" spans="1:7" x14ac:dyDescent="0.2">
      <c r="A1915" s="40">
        <v>8152</v>
      </c>
      <c r="B1915" s="39" t="s">
        <v>2255</v>
      </c>
      <c r="C1915" s="40" t="s">
        <v>2582</v>
      </c>
      <c r="D1915" s="75" t="s">
        <v>1269</v>
      </c>
      <c r="E1915" s="75" t="s">
        <v>1266</v>
      </c>
      <c r="F1915" s="75" t="s">
        <v>1268</v>
      </c>
      <c r="G1915" s="75" t="s">
        <v>1268</v>
      </c>
    </row>
    <row r="1916" spans="1:7" x14ac:dyDescent="0.2">
      <c r="A1916" s="40">
        <v>8153</v>
      </c>
      <c r="B1916" s="39" t="s">
        <v>2256</v>
      </c>
      <c r="C1916" s="40" t="s">
        <v>2582</v>
      </c>
      <c r="D1916" s="75" t="s">
        <v>1269</v>
      </c>
      <c r="E1916" s="75" t="s">
        <v>1266</v>
      </c>
      <c r="F1916" s="75" t="s">
        <v>1268</v>
      </c>
      <c r="G1916" s="75" t="s">
        <v>1267</v>
      </c>
    </row>
    <row r="1917" spans="1:7" x14ac:dyDescent="0.2">
      <c r="A1917" s="40">
        <v>8160</v>
      </c>
      <c r="B1917" s="39" t="s">
        <v>2257</v>
      </c>
      <c r="C1917" s="40" t="s">
        <v>2582</v>
      </c>
      <c r="D1917" s="75" t="s">
        <v>1269</v>
      </c>
      <c r="E1917" s="75" t="s">
        <v>1266</v>
      </c>
      <c r="F1917" s="75" t="s">
        <v>1268</v>
      </c>
      <c r="G1917" s="75" t="s">
        <v>1268</v>
      </c>
    </row>
    <row r="1918" spans="1:7" x14ac:dyDescent="0.2">
      <c r="A1918" s="40">
        <v>8162</v>
      </c>
      <c r="B1918" s="39" t="s">
        <v>2258</v>
      </c>
      <c r="C1918" s="40" t="s">
        <v>2582</v>
      </c>
      <c r="D1918" s="75" t="s">
        <v>1269</v>
      </c>
      <c r="E1918" s="75" t="s">
        <v>1266</v>
      </c>
      <c r="F1918" s="75" t="s">
        <v>1268</v>
      </c>
      <c r="G1918" s="75" t="s">
        <v>1268</v>
      </c>
    </row>
    <row r="1919" spans="1:7" x14ac:dyDescent="0.2">
      <c r="A1919" s="40">
        <v>8163</v>
      </c>
      <c r="B1919" s="39" t="s">
        <v>2259</v>
      </c>
      <c r="C1919" s="40" t="s">
        <v>2582</v>
      </c>
      <c r="D1919" s="75" t="s">
        <v>1269</v>
      </c>
      <c r="E1919" s="75" t="s">
        <v>1266</v>
      </c>
      <c r="F1919" s="75" t="s">
        <v>1268</v>
      </c>
      <c r="G1919" s="75" t="s">
        <v>1267</v>
      </c>
    </row>
    <row r="1920" spans="1:7" x14ac:dyDescent="0.2">
      <c r="A1920" s="40">
        <v>8171</v>
      </c>
      <c r="B1920" s="39" t="s">
        <v>2260</v>
      </c>
      <c r="C1920" s="40" t="s">
        <v>2582</v>
      </c>
      <c r="D1920" s="75" t="s">
        <v>1269</v>
      </c>
      <c r="E1920" s="75" t="s">
        <v>1266</v>
      </c>
      <c r="F1920" s="75" t="s">
        <v>1268</v>
      </c>
      <c r="G1920" s="75" t="s">
        <v>1267</v>
      </c>
    </row>
    <row r="1921" spans="1:7" x14ac:dyDescent="0.2">
      <c r="A1921" s="40">
        <v>8172</v>
      </c>
      <c r="B1921" s="39" t="s">
        <v>2261</v>
      </c>
      <c r="C1921" s="40" t="s">
        <v>2582</v>
      </c>
      <c r="D1921" s="75" t="s">
        <v>1269</v>
      </c>
      <c r="E1921" s="75" t="s">
        <v>1266</v>
      </c>
      <c r="F1921" s="75" t="s">
        <v>1268</v>
      </c>
      <c r="G1921" s="75" t="s">
        <v>1267</v>
      </c>
    </row>
    <row r="1922" spans="1:7" x14ac:dyDescent="0.2">
      <c r="A1922" s="40">
        <v>8181</v>
      </c>
      <c r="B1922" s="39" t="s">
        <v>2262</v>
      </c>
      <c r="C1922" s="40" t="s">
        <v>2582</v>
      </c>
      <c r="D1922" s="75" t="s">
        <v>1269</v>
      </c>
      <c r="E1922" s="75" t="s">
        <v>1266</v>
      </c>
      <c r="F1922" s="75" t="s">
        <v>1268</v>
      </c>
      <c r="G1922" s="75" t="s">
        <v>1268</v>
      </c>
    </row>
    <row r="1923" spans="1:7" x14ac:dyDescent="0.2">
      <c r="A1923" s="40">
        <v>8182</v>
      </c>
      <c r="B1923" s="39" t="s">
        <v>2263</v>
      </c>
      <c r="C1923" s="40" t="s">
        <v>2582</v>
      </c>
      <c r="D1923" s="75" t="s">
        <v>1269</v>
      </c>
      <c r="E1923" s="75" t="s">
        <v>1266</v>
      </c>
      <c r="F1923" s="75" t="s">
        <v>1268</v>
      </c>
      <c r="G1923" s="75" t="s">
        <v>1267</v>
      </c>
    </row>
    <row r="1924" spans="1:7" x14ac:dyDescent="0.2">
      <c r="A1924" s="40">
        <v>8183</v>
      </c>
      <c r="B1924" s="39" t="s">
        <v>2264</v>
      </c>
      <c r="C1924" s="40" t="s">
        <v>2582</v>
      </c>
      <c r="D1924" s="75" t="s">
        <v>1269</v>
      </c>
      <c r="E1924" s="75" t="s">
        <v>1266</v>
      </c>
      <c r="F1924" s="75" t="s">
        <v>1268</v>
      </c>
      <c r="G1924" s="75" t="s">
        <v>1267</v>
      </c>
    </row>
    <row r="1925" spans="1:7" x14ac:dyDescent="0.2">
      <c r="A1925" s="40">
        <v>8184</v>
      </c>
      <c r="B1925" s="39" t="s">
        <v>2265</v>
      </c>
      <c r="C1925" s="40" t="s">
        <v>2582</v>
      </c>
      <c r="D1925" s="75" t="s">
        <v>1269</v>
      </c>
      <c r="E1925" s="75" t="s">
        <v>1266</v>
      </c>
      <c r="F1925" s="75" t="s">
        <v>1268</v>
      </c>
      <c r="G1925" s="75" t="s">
        <v>1268</v>
      </c>
    </row>
    <row r="1926" spans="1:7" x14ac:dyDescent="0.2">
      <c r="A1926" s="40">
        <v>8190</v>
      </c>
      <c r="B1926" s="39" t="s">
        <v>2266</v>
      </c>
      <c r="C1926" s="40" t="s">
        <v>2582</v>
      </c>
      <c r="D1926" s="75" t="s">
        <v>1269</v>
      </c>
      <c r="E1926" s="75" t="s">
        <v>1266</v>
      </c>
      <c r="F1926" s="75" t="s">
        <v>1268</v>
      </c>
      <c r="G1926" s="75" t="s">
        <v>1268</v>
      </c>
    </row>
    <row r="1927" spans="1:7" x14ac:dyDescent="0.2">
      <c r="A1927" s="40">
        <v>8191</v>
      </c>
      <c r="B1927" s="39" t="s">
        <v>2267</v>
      </c>
      <c r="C1927" s="40" t="s">
        <v>2582</v>
      </c>
      <c r="D1927" s="75" t="s">
        <v>1269</v>
      </c>
      <c r="E1927" s="75" t="s">
        <v>1266</v>
      </c>
      <c r="F1927" s="75" t="s">
        <v>1268</v>
      </c>
      <c r="G1927" s="75" t="s">
        <v>1267</v>
      </c>
    </row>
    <row r="1928" spans="1:7" x14ac:dyDescent="0.2">
      <c r="A1928" s="40">
        <v>8192</v>
      </c>
      <c r="B1928" s="39" t="s">
        <v>2268</v>
      </c>
      <c r="C1928" s="40" t="s">
        <v>2582</v>
      </c>
      <c r="D1928" s="75" t="s">
        <v>1269</v>
      </c>
      <c r="E1928" s="75" t="s">
        <v>1266</v>
      </c>
      <c r="F1928" s="75" t="s">
        <v>1268</v>
      </c>
      <c r="G1928" s="75" t="s">
        <v>1267</v>
      </c>
    </row>
    <row r="1929" spans="1:7" x14ac:dyDescent="0.2">
      <c r="A1929" s="40">
        <v>8200</v>
      </c>
      <c r="B1929" s="39" t="s">
        <v>2269</v>
      </c>
      <c r="C1929" s="40" t="s">
        <v>2582</v>
      </c>
      <c r="D1929" s="75" t="s">
        <v>1269</v>
      </c>
      <c r="E1929" s="75" t="s">
        <v>1266</v>
      </c>
      <c r="F1929" s="75" t="s">
        <v>1268</v>
      </c>
      <c r="G1929" s="75" t="s">
        <v>1268</v>
      </c>
    </row>
    <row r="1930" spans="1:7" x14ac:dyDescent="0.2">
      <c r="A1930" s="40">
        <v>8211</v>
      </c>
      <c r="B1930" s="39" t="s">
        <v>2270</v>
      </c>
      <c r="C1930" s="40" t="s">
        <v>2582</v>
      </c>
      <c r="D1930" s="75" t="s">
        <v>1269</v>
      </c>
      <c r="E1930" s="75" t="s">
        <v>1266</v>
      </c>
      <c r="F1930" s="75" t="s">
        <v>1268</v>
      </c>
      <c r="G1930" s="75" t="s">
        <v>1267</v>
      </c>
    </row>
    <row r="1931" spans="1:7" x14ac:dyDescent="0.2">
      <c r="A1931" s="40">
        <v>8212</v>
      </c>
      <c r="B1931" s="39" t="s">
        <v>2271</v>
      </c>
      <c r="C1931" s="40" t="s">
        <v>2582</v>
      </c>
      <c r="D1931" s="75" t="s">
        <v>1269</v>
      </c>
      <c r="E1931" s="75" t="s">
        <v>1266</v>
      </c>
      <c r="F1931" s="75" t="s">
        <v>1268</v>
      </c>
      <c r="G1931" s="75" t="s">
        <v>1268</v>
      </c>
    </row>
    <row r="1932" spans="1:7" x14ac:dyDescent="0.2">
      <c r="A1932" s="40">
        <v>8221</v>
      </c>
      <c r="B1932" s="39" t="s">
        <v>2272</v>
      </c>
      <c r="C1932" s="40" t="s">
        <v>2582</v>
      </c>
      <c r="D1932" s="75" t="s">
        <v>1269</v>
      </c>
      <c r="E1932" s="75" t="s">
        <v>1266</v>
      </c>
      <c r="F1932" s="75" t="s">
        <v>1268</v>
      </c>
      <c r="G1932" s="75" t="s">
        <v>1267</v>
      </c>
    </row>
    <row r="1933" spans="1:7" x14ac:dyDescent="0.2">
      <c r="A1933" s="40">
        <v>8222</v>
      </c>
      <c r="B1933" s="39" t="s">
        <v>2273</v>
      </c>
      <c r="C1933" s="40" t="s">
        <v>2582</v>
      </c>
      <c r="D1933" s="75" t="s">
        <v>1269</v>
      </c>
      <c r="E1933" s="75" t="s">
        <v>1266</v>
      </c>
      <c r="F1933" s="75" t="s">
        <v>1268</v>
      </c>
      <c r="G1933" s="75" t="s">
        <v>1267</v>
      </c>
    </row>
    <row r="1934" spans="1:7" x14ac:dyDescent="0.2">
      <c r="A1934" s="40">
        <v>8223</v>
      </c>
      <c r="B1934" s="39" t="s">
        <v>2274</v>
      </c>
      <c r="C1934" s="40" t="s">
        <v>2582</v>
      </c>
      <c r="D1934" s="75" t="s">
        <v>1269</v>
      </c>
      <c r="E1934" s="75" t="s">
        <v>1266</v>
      </c>
      <c r="F1934" s="75" t="s">
        <v>1268</v>
      </c>
      <c r="G1934" s="75" t="s">
        <v>1268</v>
      </c>
    </row>
    <row r="1935" spans="1:7" x14ac:dyDescent="0.2">
      <c r="A1935" s="40">
        <v>8224</v>
      </c>
      <c r="B1935" s="39" t="s">
        <v>2275</v>
      </c>
      <c r="C1935" s="40" t="s">
        <v>2582</v>
      </c>
      <c r="D1935" s="75" t="s">
        <v>1269</v>
      </c>
      <c r="E1935" s="75" t="s">
        <v>1266</v>
      </c>
      <c r="F1935" s="75" t="s">
        <v>1268</v>
      </c>
      <c r="G1935" s="75" t="s">
        <v>1268</v>
      </c>
    </row>
    <row r="1936" spans="1:7" x14ac:dyDescent="0.2">
      <c r="A1936" s="40">
        <v>8225</v>
      </c>
      <c r="B1936" s="39" t="s">
        <v>2276</v>
      </c>
      <c r="C1936" s="40" t="s">
        <v>2582</v>
      </c>
      <c r="D1936" s="75" t="s">
        <v>1269</v>
      </c>
      <c r="E1936" s="75" t="s">
        <v>1266</v>
      </c>
      <c r="F1936" s="75" t="s">
        <v>1268</v>
      </c>
      <c r="G1936" s="75" t="s">
        <v>1268</v>
      </c>
    </row>
    <row r="1937" spans="1:7" x14ac:dyDescent="0.2">
      <c r="A1937" s="40">
        <v>8230</v>
      </c>
      <c r="B1937" s="39" t="s">
        <v>2277</v>
      </c>
      <c r="C1937" s="40" t="s">
        <v>2582</v>
      </c>
      <c r="D1937" s="75" t="s">
        <v>1269</v>
      </c>
      <c r="E1937" s="75" t="s">
        <v>1266</v>
      </c>
      <c r="F1937" s="75" t="s">
        <v>1268</v>
      </c>
      <c r="G1937" s="75" t="s">
        <v>1268</v>
      </c>
    </row>
    <row r="1938" spans="1:7" x14ac:dyDescent="0.2">
      <c r="A1938" s="40">
        <v>8232</v>
      </c>
      <c r="B1938" s="39" t="s">
        <v>2278</v>
      </c>
      <c r="C1938" s="40" t="s">
        <v>2582</v>
      </c>
      <c r="D1938" s="75" t="s">
        <v>1269</v>
      </c>
      <c r="E1938" s="75" t="s">
        <v>1266</v>
      </c>
      <c r="F1938" s="75" t="s">
        <v>1268</v>
      </c>
      <c r="G1938" s="75" t="s">
        <v>1268</v>
      </c>
    </row>
    <row r="1939" spans="1:7" x14ac:dyDescent="0.2">
      <c r="A1939" s="40">
        <v>8233</v>
      </c>
      <c r="B1939" s="39" t="s">
        <v>2279</v>
      </c>
      <c r="C1939" s="40" t="s">
        <v>2582</v>
      </c>
      <c r="D1939" s="75" t="s">
        <v>1269</v>
      </c>
      <c r="E1939" s="75" t="s">
        <v>1266</v>
      </c>
      <c r="F1939" s="75" t="s">
        <v>1268</v>
      </c>
      <c r="G1939" s="75" t="s">
        <v>1267</v>
      </c>
    </row>
    <row r="1940" spans="1:7" x14ac:dyDescent="0.2">
      <c r="A1940" s="40">
        <v>8234</v>
      </c>
      <c r="B1940" s="39" t="s">
        <v>2280</v>
      </c>
      <c r="C1940" s="40" t="s">
        <v>2582</v>
      </c>
      <c r="D1940" s="75" t="s">
        <v>1269</v>
      </c>
      <c r="E1940" s="75" t="s">
        <v>1266</v>
      </c>
      <c r="F1940" s="75" t="s">
        <v>1268</v>
      </c>
      <c r="G1940" s="75" t="s">
        <v>1267</v>
      </c>
    </row>
    <row r="1941" spans="1:7" x14ac:dyDescent="0.2">
      <c r="A1941" s="40">
        <v>8240</v>
      </c>
      <c r="B1941" s="39" t="s">
        <v>2281</v>
      </c>
      <c r="C1941" s="40" t="s">
        <v>2582</v>
      </c>
      <c r="D1941" s="75" t="s">
        <v>1269</v>
      </c>
      <c r="E1941" s="75" t="s">
        <v>1266</v>
      </c>
      <c r="F1941" s="75" t="s">
        <v>1268</v>
      </c>
      <c r="G1941" s="75" t="s">
        <v>1268</v>
      </c>
    </row>
    <row r="1942" spans="1:7" x14ac:dyDescent="0.2">
      <c r="A1942" s="40">
        <v>8241</v>
      </c>
      <c r="B1942" s="39" t="s">
        <v>2282</v>
      </c>
      <c r="C1942" s="40" t="s">
        <v>2582</v>
      </c>
      <c r="D1942" s="75" t="s">
        <v>1269</v>
      </c>
      <c r="E1942" s="75" t="s">
        <v>1266</v>
      </c>
      <c r="F1942" s="75" t="s">
        <v>1268</v>
      </c>
      <c r="G1942" s="75" t="s">
        <v>1268</v>
      </c>
    </row>
    <row r="1943" spans="1:7" x14ac:dyDescent="0.2">
      <c r="A1943" s="40">
        <v>8242</v>
      </c>
      <c r="B1943" s="39" t="s">
        <v>2283</v>
      </c>
      <c r="C1943" s="40" t="s">
        <v>2582</v>
      </c>
      <c r="D1943" s="75" t="s">
        <v>1269</v>
      </c>
      <c r="E1943" s="75" t="s">
        <v>1266</v>
      </c>
      <c r="F1943" s="75" t="s">
        <v>1268</v>
      </c>
      <c r="G1943" s="75" t="s">
        <v>1267</v>
      </c>
    </row>
    <row r="1944" spans="1:7" x14ac:dyDescent="0.2">
      <c r="A1944" s="40">
        <v>8243</v>
      </c>
      <c r="B1944" s="39" t="s">
        <v>2284</v>
      </c>
      <c r="C1944" s="40" t="s">
        <v>2582</v>
      </c>
      <c r="D1944" s="75" t="s">
        <v>1269</v>
      </c>
      <c r="E1944" s="75" t="s">
        <v>1266</v>
      </c>
      <c r="F1944" s="75" t="s">
        <v>1268</v>
      </c>
      <c r="G1944" s="75" t="s">
        <v>1268</v>
      </c>
    </row>
    <row r="1945" spans="1:7" x14ac:dyDescent="0.2">
      <c r="A1945" s="40">
        <v>8244</v>
      </c>
      <c r="B1945" s="39" t="s">
        <v>2285</v>
      </c>
      <c r="C1945" s="40" t="s">
        <v>2582</v>
      </c>
      <c r="D1945" s="75" t="s">
        <v>1269</v>
      </c>
      <c r="E1945" s="75" t="s">
        <v>1266</v>
      </c>
      <c r="F1945" s="75" t="s">
        <v>1268</v>
      </c>
      <c r="G1945" s="75" t="s">
        <v>1267</v>
      </c>
    </row>
    <row r="1946" spans="1:7" x14ac:dyDescent="0.2">
      <c r="A1946" s="40">
        <v>8250</v>
      </c>
      <c r="B1946" s="39" t="s">
        <v>2286</v>
      </c>
      <c r="C1946" s="40" t="s">
        <v>2582</v>
      </c>
      <c r="D1946" s="75" t="s">
        <v>1269</v>
      </c>
      <c r="E1946" s="75" t="s">
        <v>1266</v>
      </c>
      <c r="F1946" s="75" t="s">
        <v>1268</v>
      </c>
      <c r="G1946" s="75" t="s">
        <v>1268</v>
      </c>
    </row>
    <row r="1947" spans="1:7" x14ac:dyDescent="0.2">
      <c r="A1947" s="40">
        <v>8251</v>
      </c>
      <c r="B1947" s="39" t="s">
        <v>2287</v>
      </c>
      <c r="C1947" s="40" t="s">
        <v>2582</v>
      </c>
      <c r="D1947" s="75" t="s">
        <v>1269</v>
      </c>
      <c r="E1947" s="75" t="s">
        <v>1266</v>
      </c>
      <c r="F1947" s="75" t="s">
        <v>1268</v>
      </c>
      <c r="G1947" s="75" t="s">
        <v>1267</v>
      </c>
    </row>
    <row r="1948" spans="1:7" x14ac:dyDescent="0.2">
      <c r="A1948" s="40">
        <v>8252</v>
      </c>
      <c r="B1948" s="39" t="s">
        <v>2288</v>
      </c>
      <c r="C1948" s="40" t="s">
        <v>2582</v>
      </c>
      <c r="D1948" s="75" t="s">
        <v>1269</v>
      </c>
      <c r="E1948" s="75" t="s">
        <v>1266</v>
      </c>
      <c r="F1948" s="75" t="s">
        <v>1268</v>
      </c>
      <c r="G1948" s="75" t="s">
        <v>1267</v>
      </c>
    </row>
    <row r="1949" spans="1:7" x14ac:dyDescent="0.2">
      <c r="A1949" s="40">
        <v>8253</v>
      </c>
      <c r="B1949" s="39" t="s">
        <v>2289</v>
      </c>
      <c r="C1949" s="40" t="s">
        <v>2582</v>
      </c>
      <c r="D1949" s="75" t="s">
        <v>1269</v>
      </c>
      <c r="E1949" s="75" t="s">
        <v>1266</v>
      </c>
      <c r="F1949" s="75" t="s">
        <v>1268</v>
      </c>
      <c r="G1949" s="75" t="s">
        <v>1268</v>
      </c>
    </row>
    <row r="1950" spans="1:7" x14ac:dyDescent="0.2">
      <c r="A1950" s="40">
        <v>8254</v>
      </c>
      <c r="B1950" s="39" t="s">
        <v>2290</v>
      </c>
      <c r="C1950" s="40" t="s">
        <v>2582</v>
      </c>
      <c r="D1950" s="75" t="s">
        <v>1269</v>
      </c>
      <c r="E1950" s="75" t="s">
        <v>1266</v>
      </c>
      <c r="F1950" s="75" t="s">
        <v>1268</v>
      </c>
      <c r="G1950" s="75" t="s">
        <v>1268</v>
      </c>
    </row>
    <row r="1951" spans="1:7" x14ac:dyDescent="0.2">
      <c r="A1951" s="40">
        <v>8255</v>
      </c>
      <c r="B1951" s="39" t="s">
        <v>739</v>
      </c>
      <c r="C1951" s="40" t="s">
        <v>2582</v>
      </c>
      <c r="D1951" s="75" t="s">
        <v>1269</v>
      </c>
      <c r="E1951" s="75" t="s">
        <v>1266</v>
      </c>
      <c r="F1951" s="75" t="s">
        <v>1268</v>
      </c>
      <c r="G1951" s="75" t="s">
        <v>1267</v>
      </c>
    </row>
    <row r="1952" spans="1:7" x14ac:dyDescent="0.2">
      <c r="A1952" s="40">
        <v>8261</v>
      </c>
      <c r="B1952" s="39" t="s">
        <v>740</v>
      </c>
      <c r="C1952" s="40" t="s">
        <v>2582</v>
      </c>
      <c r="D1952" s="75" t="s">
        <v>1269</v>
      </c>
      <c r="E1952" s="75" t="s">
        <v>1266</v>
      </c>
      <c r="F1952" s="75" t="s">
        <v>1268</v>
      </c>
      <c r="G1952" s="75" t="s">
        <v>1268</v>
      </c>
    </row>
    <row r="1953" spans="1:7" x14ac:dyDescent="0.2">
      <c r="A1953" s="40">
        <v>8262</v>
      </c>
      <c r="B1953" s="39" t="s">
        <v>741</v>
      </c>
      <c r="C1953" s="40" t="s">
        <v>2582</v>
      </c>
      <c r="D1953" s="75" t="s">
        <v>1269</v>
      </c>
      <c r="E1953" s="75" t="s">
        <v>1266</v>
      </c>
      <c r="F1953" s="75" t="s">
        <v>1268</v>
      </c>
      <c r="G1953" s="75" t="s">
        <v>1268</v>
      </c>
    </row>
    <row r="1954" spans="1:7" x14ac:dyDescent="0.2">
      <c r="A1954" s="40">
        <v>8263</v>
      </c>
      <c r="B1954" s="39" t="s">
        <v>742</v>
      </c>
      <c r="C1954" s="40" t="s">
        <v>2582</v>
      </c>
      <c r="D1954" s="75" t="s">
        <v>1269</v>
      </c>
      <c r="E1954" s="75" t="s">
        <v>1266</v>
      </c>
      <c r="F1954" s="75" t="s">
        <v>1268</v>
      </c>
      <c r="G1954" s="75" t="s">
        <v>1268</v>
      </c>
    </row>
    <row r="1955" spans="1:7" x14ac:dyDescent="0.2">
      <c r="A1955" s="40">
        <v>8264</v>
      </c>
      <c r="B1955" s="39" t="s">
        <v>743</v>
      </c>
      <c r="C1955" s="40" t="s">
        <v>2582</v>
      </c>
      <c r="D1955" s="75" t="s">
        <v>1269</v>
      </c>
      <c r="E1955" s="75" t="s">
        <v>1266</v>
      </c>
      <c r="F1955" s="75" t="s">
        <v>1268</v>
      </c>
      <c r="G1955" s="75" t="s">
        <v>1267</v>
      </c>
    </row>
    <row r="1956" spans="1:7" x14ac:dyDescent="0.2">
      <c r="A1956" s="40">
        <v>8265</v>
      </c>
      <c r="B1956" s="39" t="s">
        <v>744</v>
      </c>
      <c r="C1956" s="40" t="s">
        <v>2582</v>
      </c>
      <c r="D1956" s="75" t="s">
        <v>1269</v>
      </c>
      <c r="E1956" s="75" t="s">
        <v>1266</v>
      </c>
      <c r="F1956" s="75" t="s">
        <v>1268</v>
      </c>
      <c r="G1956" s="75" t="s">
        <v>1267</v>
      </c>
    </row>
    <row r="1957" spans="1:7" x14ac:dyDescent="0.2">
      <c r="A1957" s="40">
        <v>8271</v>
      </c>
      <c r="B1957" s="39" t="s">
        <v>745</v>
      </c>
      <c r="C1957" s="40" t="s">
        <v>2582</v>
      </c>
      <c r="D1957" s="75" t="s">
        <v>1269</v>
      </c>
      <c r="E1957" s="75" t="s">
        <v>1266</v>
      </c>
      <c r="F1957" s="75" t="s">
        <v>1268</v>
      </c>
      <c r="G1957" s="75" t="s">
        <v>1268</v>
      </c>
    </row>
    <row r="1958" spans="1:7" x14ac:dyDescent="0.2">
      <c r="A1958" s="40">
        <v>8272</v>
      </c>
      <c r="B1958" s="39" t="s">
        <v>746</v>
      </c>
      <c r="C1958" s="40" t="s">
        <v>2582</v>
      </c>
      <c r="D1958" s="75" t="s">
        <v>1269</v>
      </c>
      <c r="E1958" s="75" t="s">
        <v>1266</v>
      </c>
      <c r="F1958" s="75" t="s">
        <v>1268</v>
      </c>
      <c r="G1958" s="75" t="s">
        <v>1267</v>
      </c>
    </row>
    <row r="1959" spans="1:7" x14ac:dyDescent="0.2">
      <c r="A1959" s="40">
        <v>8273</v>
      </c>
      <c r="B1959" s="39" t="s">
        <v>747</v>
      </c>
      <c r="C1959" s="40" t="s">
        <v>2582</v>
      </c>
      <c r="D1959" s="75" t="s">
        <v>1269</v>
      </c>
      <c r="E1959" s="75" t="s">
        <v>1266</v>
      </c>
      <c r="F1959" s="75" t="s">
        <v>1268</v>
      </c>
      <c r="G1959" s="75" t="s">
        <v>1267</v>
      </c>
    </row>
    <row r="1960" spans="1:7" x14ac:dyDescent="0.2">
      <c r="A1960" s="40">
        <v>8274</v>
      </c>
      <c r="B1960" s="39" t="s">
        <v>748</v>
      </c>
      <c r="C1960" s="40" t="s">
        <v>2582</v>
      </c>
      <c r="D1960" s="75" t="s">
        <v>1269</v>
      </c>
      <c r="E1960" s="75" t="s">
        <v>1266</v>
      </c>
      <c r="F1960" s="75" t="s">
        <v>1268</v>
      </c>
      <c r="G1960" s="75" t="s">
        <v>1267</v>
      </c>
    </row>
    <row r="1961" spans="1:7" x14ac:dyDescent="0.2">
      <c r="A1961" s="40">
        <v>8280</v>
      </c>
      <c r="B1961" s="39" t="s">
        <v>749</v>
      </c>
      <c r="C1961" s="40" t="s">
        <v>2582</v>
      </c>
      <c r="D1961" s="75" t="s">
        <v>1269</v>
      </c>
      <c r="E1961" s="75" t="s">
        <v>1266</v>
      </c>
      <c r="F1961" s="75" t="s">
        <v>1268</v>
      </c>
      <c r="G1961" s="75" t="s">
        <v>1268</v>
      </c>
    </row>
    <row r="1962" spans="1:7" x14ac:dyDescent="0.2">
      <c r="A1962" s="40">
        <v>8282</v>
      </c>
      <c r="B1962" s="39" t="s">
        <v>750</v>
      </c>
      <c r="C1962" s="40" t="s">
        <v>2582</v>
      </c>
      <c r="D1962" s="75" t="s">
        <v>1269</v>
      </c>
      <c r="E1962" s="75" t="s">
        <v>1266</v>
      </c>
      <c r="F1962" s="75" t="s">
        <v>1268</v>
      </c>
      <c r="G1962" s="75" t="s">
        <v>1268</v>
      </c>
    </row>
    <row r="1963" spans="1:7" x14ac:dyDescent="0.2">
      <c r="A1963" s="40">
        <v>8283</v>
      </c>
      <c r="B1963" s="39" t="s">
        <v>751</v>
      </c>
      <c r="C1963" s="40" t="s">
        <v>2582</v>
      </c>
      <c r="D1963" s="75" t="s">
        <v>1269</v>
      </c>
      <c r="E1963" s="75" t="s">
        <v>1266</v>
      </c>
      <c r="F1963" s="75" t="s">
        <v>1268</v>
      </c>
      <c r="G1963" s="75" t="s">
        <v>1268</v>
      </c>
    </row>
    <row r="1964" spans="1:7" x14ac:dyDescent="0.2">
      <c r="A1964" s="40">
        <v>8291</v>
      </c>
      <c r="B1964" s="39" t="s">
        <v>752</v>
      </c>
      <c r="C1964" s="40" t="s">
        <v>2582</v>
      </c>
      <c r="D1964" s="75" t="s">
        <v>1269</v>
      </c>
      <c r="E1964" s="75" t="s">
        <v>1266</v>
      </c>
      <c r="F1964" s="75" t="s">
        <v>1268</v>
      </c>
      <c r="G1964" s="75" t="s">
        <v>1267</v>
      </c>
    </row>
    <row r="1965" spans="1:7" x14ac:dyDescent="0.2">
      <c r="A1965" s="40">
        <v>8292</v>
      </c>
      <c r="B1965" s="39" t="s">
        <v>753</v>
      </c>
      <c r="C1965" s="40" t="s">
        <v>2582</v>
      </c>
      <c r="D1965" s="75" t="s">
        <v>1269</v>
      </c>
      <c r="E1965" s="75" t="s">
        <v>1266</v>
      </c>
      <c r="F1965" s="75" t="s">
        <v>1268</v>
      </c>
      <c r="G1965" s="75" t="s">
        <v>1268</v>
      </c>
    </row>
    <row r="1966" spans="1:7" x14ac:dyDescent="0.2">
      <c r="A1966" s="40">
        <v>8293</v>
      </c>
      <c r="B1966" s="39" t="s">
        <v>754</v>
      </c>
      <c r="C1966" s="40" t="s">
        <v>2582</v>
      </c>
      <c r="D1966" s="75" t="s">
        <v>1269</v>
      </c>
      <c r="E1966" s="75" t="s">
        <v>1266</v>
      </c>
      <c r="F1966" s="75" t="s">
        <v>1268</v>
      </c>
      <c r="G1966" s="75" t="s">
        <v>1267</v>
      </c>
    </row>
    <row r="1967" spans="1:7" x14ac:dyDescent="0.2">
      <c r="A1967" s="40">
        <v>8294</v>
      </c>
      <c r="B1967" s="39" t="s">
        <v>755</v>
      </c>
      <c r="C1967" s="40" t="s">
        <v>2582</v>
      </c>
      <c r="D1967" s="75" t="s">
        <v>1269</v>
      </c>
      <c r="E1967" s="75" t="s">
        <v>1266</v>
      </c>
      <c r="F1967" s="75" t="s">
        <v>1268</v>
      </c>
      <c r="G1967" s="75" t="s">
        <v>1267</v>
      </c>
    </row>
    <row r="1968" spans="1:7" x14ac:dyDescent="0.2">
      <c r="A1968" s="40">
        <v>8295</v>
      </c>
      <c r="B1968" s="39" t="s">
        <v>756</v>
      </c>
      <c r="C1968" s="40" t="s">
        <v>2582</v>
      </c>
      <c r="D1968" s="75" t="s">
        <v>1269</v>
      </c>
      <c r="E1968" s="75" t="s">
        <v>1266</v>
      </c>
      <c r="F1968" s="75" t="s">
        <v>1268</v>
      </c>
      <c r="G1968" s="75" t="s">
        <v>1268</v>
      </c>
    </row>
    <row r="1969" spans="1:7" x14ac:dyDescent="0.2">
      <c r="A1969" s="40">
        <v>8301</v>
      </c>
      <c r="B1969" s="39" t="s">
        <v>757</v>
      </c>
      <c r="C1969" s="40" t="s">
        <v>2582</v>
      </c>
      <c r="D1969" s="75" t="s">
        <v>1269</v>
      </c>
      <c r="E1969" s="75" t="s">
        <v>1266</v>
      </c>
      <c r="F1969" s="75" t="s">
        <v>1268</v>
      </c>
      <c r="G1969" s="75" t="s">
        <v>1268</v>
      </c>
    </row>
    <row r="1970" spans="1:7" x14ac:dyDescent="0.2">
      <c r="A1970" s="40">
        <v>8302</v>
      </c>
      <c r="B1970" s="39" t="s">
        <v>758</v>
      </c>
      <c r="C1970" s="40" t="s">
        <v>2582</v>
      </c>
      <c r="D1970" s="75" t="s">
        <v>1269</v>
      </c>
      <c r="E1970" s="75" t="s">
        <v>1266</v>
      </c>
      <c r="F1970" s="75" t="s">
        <v>1268</v>
      </c>
      <c r="G1970" s="75" t="s">
        <v>1267</v>
      </c>
    </row>
    <row r="1971" spans="1:7" x14ac:dyDescent="0.2">
      <c r="A1971" s="40">
        <v>8311</v>
      </c>
      <c r="B1971" s="39" t="s">
        <v>759</v>
      </c>
      <c r="C1971" s="40" t="s">
        <v>2582</v>
      </c>
      <c r="D1971" s="75" t="s">
        <v>1269</v>
      </c>
      <c r="E1971" s="75" t="s">
        <v>1266</v>
      </c>
      <c r="F1971" s="75" t="s">
        <v>1268</v>
      </c>
      <c r="G1971" s="75" t="s">
        <v>1268</v>
      </c>
    </row>
    <row r="1972" spans="1:7" x14ac:dyDescent="0.2">
      <c r="A1972" s="40">
        <v>8312</v>
      </c>
      <c r="B1972" s="39" t="s">
        <v>760</v>
      </c>
      <c r="C1972" s="40" t="s">
        <v>2582</v>
      </c>
      <c r="D1972" s="75" t="s">
        <v>1269</v>
      </c>
      <c r="E1972" s="75" t="s">
        <v>1266</v>
      </c>
      <c r="F1972" s="75" t="s">
        <v>1268</v>
      </c>
      <c r="G1972" s="75" t="s">
        <v>1267</v>
      </c>
    </row>
    <row r="1973" spans="1:7" x14ac:dyDescent="0.2">
      <c r="A1973" s="40">
        <v>8313</v>
      </c>
      <c r="B1973" s="39" t="s">
        <v>761</v>
      </c>
      <c r="C1973" s="40" t="s">
        <v>2582</v>
      </c>
      <c r="D1973" s="75" t="s">
        <v>1269</v>
      </c>
      <c r="E1973" s="75" t="s">
        <v>1266</v>
      </c>
      <c r="F1973" s="75" t="s">
        <v>1268</v>
      </c>
      <c r="G1973" s="75" t="s">
        <v>1268</v>
      </c>
    </row>
    <row r="1974" spans="1:7" x14ac:dyDescent="0.2">
      <c r="A1974" s="40">
        <v>8321</v>
      </c>
      <c r="B1974" s="39" t="s">
        <v>762</v>
      </c>
      <c r="C1974" s="40" t="s">
        <v>2582</v>
      </c>
      <c r="D1974" s="75" t="s">
        <v>1269</v>
      </c>
      <c r="E1974" s="75" t="s">
        <v>1266</v>
      </c>
      <c r="F1974" s="75" t="s">
        <v>1268</v>
      </c>
      <c r="G1974" s="75" t="s">
        <v>1268</v>
      </c>
    </row>
    <row r="1975" spans="1:7" x14ac:dyDescent="0.2">
      <c r="A1975" s="40">
        <v>8322</v>
      </c>
      <c r="B1975" s="39" t="s">
        <v>763</v>
      </c>
      <c r="C1975" s="40" t="s">
        <v>2582</v>
      </c>
      <c r="D1975" s="75" t="s">
        <v>1269</v>
      </c>
      <c r="E1975" s="75" t="s">
        <v>1266</v>
      </c>
      <c r="F1975" s="75" t="s">
        <v>1268</v>
      </c>
      <c r="G1975" s="75" t="s">
        <v>1268</v>
      </c>
    </row>
    <row r="1976" spans="1:7" x14ac:dyDescent="0.2">
      <c r="A1976" s="40">
        <v>8323</v>
      </c>
      <c r="B1976" s="39" t="s">
        <v>764</v>
      </c>
      <c r="C1976" s="40" t="s">
        <v>2582</v>
      </c>
      <c r="D1976" s="75" t="s">
        <v>1269</v>
      </c>
      <c r="E1976" s="75" t="s">
        <v>1266</v>
      </c>
      <c r="F1976" s="75" t="s">
        <v>1268</v>
      </c>
      <c r="G1976" s="75" t="s">
        <v>1268</v>
      </c>
    </row>
    <row r="1977" spans="1:7" x14ac:dyDescent="0.2">
      <c r="A1977" s="40">
        <v>8324</v>
      </c>
      <c r="B1977" s="39" t="s">
        <v>765</v>
      </c>
      <c r="C1977" s="40" t="s">
        <v>2582</v>
      </c>
      <c r="D1977" s="75" t="s">
        <v>1269</v>
      </c>
      <c r="E1977" s="75" t="s">
        <v>1266</v>
      </c>
      <c r="F1977" s="75" t="s">
        <v>1268</v>
      </c>
      <c r="G1977" s="75" t="s">
        <v>1267</v>
      </c>
    </row>
    <row r="1978" spans="1:7" x14ac:dyDescent="0.2">
      <c r="A1978" s="40">
        <v>8330</v>
      </c>
      <c r="B1978" s="39" t="s">
        <v>766</v>
      </c>
      <c r="C1978" s="40" t="s">
        <v>2582</v>
      </c>
      <c r="D1978" s="75" t="s">
        <v>1269</v>
      </c>
      <c r="E1978" s="75" t="s">
        <v>1266</v>
      </c>
      <c r="F1978" s="75" t="s">
        <v>1268</v>
      </c>
      <c r="G1978" s="75" t="s">
        <v>1268</v>
      </c>
    </row>
    <row r="1979" spans="1:7" x14ac:dyDescent="0.2">
      <c r="A1979" s="40">
        <v>8332</v>
      </c>
      <c r="B1979" s="39" t="s">
        <v>767</v>
      </c>
      <c r="C1979" s="40" t="s">
        <v>2582</v>
      </c>
      <c r="D1979" s="75" t="s">
        <v>1269</v>
      </c>
      <c r="E1979" s="75" t="s">
        <v>1266</v>
      </c>
      <c r="F1979" s="75" t="s">
        <v>1268</v>
      </c>
      <c r="G1979" s="75" t="s">
        <v>1267</v>
      </c>
    </row>
    <row r="1980" spans="1:7" x14ac:dyDescent="0.2">
      <c r="A1980" s="40">
        <v>8333</v>
      </c>
      <c r="B1980" s="39" t="s">
        <v>1314</v>
      </c>
      <c r="C1980" s="40" t="s">
        <v>2582</v>
      </c>
      <c r="D1980" s="75" t="s">
        <v>1269</v>
      </c>
      <c r="E1980" s="75" t="s">
        <v>1266</v>
      </c>
      <c r="F1980" s="75" t="s">
        <v>1268</v>
      </c>
      <c r="G1980" s="75" t="s">
        <v>1267</v>
      </c>
    </row>
    <row r="1981" spans="1:7" x14ac:dyDescent="0.2">
      <c r="A1981" s="40">
        <v>8334</v>
      </c>
      <c r="B1981" s="39" t="s">
        <v>768</v>
      </c>
      <c r="C1981" s="40" t="s">
        <v>2582</v>
      </c>
      <c r="D1981" s="75" t="s">
        <v>1269</v>
      </c>
      <c r="E1981" s="75" t="s">
        <v>1266</v>
      </c>
      <c r="F1981" s="75" t="s">
        <v>1268</v>
      </c>
      <c r="G1981" s="75" t="s">
        <v>1267</v>
      </c>
    </row>
    <row r="1982" spans="1:7" x14ac:dyDescent="0.2">
      <c r="A1982" s="40">
        <v>8341</v>
      </c>
      <c r="B1982" s="39" t="s">
        <v>769</v>
      </c>
      <c r="C1982" s="40" t="s">
        <v>2582</v>
      </c>
      <c r="D1982" s="75" t="s">
        <v>1269</v>
      </c>
      <c r="E1982" s="75" t="s">
        <v>1266</v>
      </c>
      <c r="F1982" s="75" t="s">
        <v>1268</v>
      </c>
      <c r="G1982" s="75" t="s">
        <v>1268</v>
      </c>
    </row>
    <row r="1983" spans="1:7" x14ac:dyDescent="0.2">
      <c r="A1983" s="40">
        <v>8342</v>
      </c>
      <c r="B1983" s="39" t="s">
        <v>770</v>
      </c>
      <c r="C1983" s="40" t="s">
        <v>2582</v>
      </c>
      <c r="D1983" s="75" t="s">
        <v>1269</v>
      </c>
      <c r="E1983" s="75" t="s">
        <v>1266</v>
      </c>
      <c r="F1983" s="75" t="s">
        <v>1268</v>
      </c>
      <c r="G1983" s="75" t="s">
        <v>1268</v>
      </c>
    </row>
    <row r="1984" spans="1:7" x14ac:dyDescent="0.2">
      <c r="A1984" s="40">
        <v>8343</v>
      </c>
      <c r="B1984" s="39" t="s">
        <v>771</v>
      </c>
      <c r="C1984" s="40" t="s">
        <v>2582</v>
      </c>
      <c r="D1984" s="75" t="s">
        <v>1269</v>
      </c>
      <c r="E1984" s="75" t="s">
        <v>1266</v>
      </c>
      <c r="F1984" s="75" t="s">
        <v>1268</v>
      </c>
      <c r="G1984" s="75" t="s">
        <v>1267</v>
      </c>
    </row>
    <row r="1985" spans="1:7" x14ac:dyDescent="0.2">
      <c r="A1985" s="40">
        <v>8344</v>
      </c>
      <c r="B1985" s="39" t="s">
        <v>127</v>
      </c>
      <c r="C1985" s="40" t="s">
        <v>2582</v>
      </c>
      <c r="D1985" s="75" t="s">
        <v>1269</v>
      </c>
      <c r="E1985" s="75" t="s">
        <v>1266</v>
      </c>
      <c r="F1985" s="75" t="s">
        <v>1268</v>
      </c>
      <c r="G1985" s="75" t="s">
        <v>1268</v>
      </c>
    </row>
    <row r="1986" spans="1:7" x14ac:dyDescent="0.2">
      <c r="A1986" s="40">
        <v>8345</v>
      </c>
      <c r="B1986" s="39" t="s">
        <v>772</v>
      </c>
      <c r="C1986" s="40" t="s">
        <v>2582</v>
      </c>
      <c r="D1986" s="75" t="s">
        <v>1269</v>
      </c>
      <c r="E1986" s="75" t="s">
        <v>1266</v>
      </c>
      <c r="F1986" s="75" t="s">
        <v>1268</v>
      </c>
      <c r="G1986" s="75" t="s">
        <v>1268</v>
      </c>
    </row>
    <row r="1987" spans="1:7" x14ac:dyDescent="0.2">
      <c r="A1987" s="40">
        <v>8350</v>
      </c>
      <c r="B1987" s="39" t="s">
        <v>773</v>
      </c>
      <c r="C1987" s="40" t="s">
        <v>2582</v>
      </c>
      <c r="D1987" s="75" t="s">
        <v>1269</v>
      </c>
      <c r="E1987" s="75" t="s">
        <v>1266</v>
      </c>
      <c r="F1987" s="75" t="s">
        <v>1268</v>
      </c>
      <c r="G1987" s="75" t="s">
        <v>1268</v>
      </c>
    </row>
    <row r="1988" spans="1:7" x14ac:dyDescent="0.2">
      <c r="A1988" s="40">
        <v>8352</v>
      </c>
      <c r="B1988" s="39" t="s">
        <v>774</v>
      </c>
      <c r="C1988" s="40" t="s">
        <v>2582</v>
      </c>
      <c r="D1988" s="75" t="s">
        <v>1269</v>
      </c>
      <c r="E1988" s="75" t="s">
        <v>1266</v>
      </c>
      <c r="F1988" s="75" t="s">
        <v>1268</v>
      </c>
      <c r="G1988" s="75" t="s">
        <v>1267</v>
      </c>
    </row>
    <row r="1989" spans="1:7" x14ac:dyDescent="0.2">
      <c r="A1989" s="40">
        <v>8353</v>
      </c>
      <c r="B1989" s="39" t="s">
        <v>775</v>
      </c>
      <c r="C1989" s="40" t="s">
        <v>2582</v>
      </c>
      <c r="D1989" s="75" t="s">
        <v>1269</v>
      </c>
      <c r="E1989" s="75" t="s">
        <v>1266</v>
      </c>
      <c r="F1989" s="75" t="s">
        <v>1268</v>
      </c>
      <c r="G1989" s="75" t="s">
        <v>1267</v>
      </c>
    </row>
    <row r="1990" spans="1:7" x14ac:dyDescent="0.2">
      <c r="A1990" s="40">
        <v>8354</v>
      </c>
      <c r="B1990" s="39" t="s">
        <v>776</v>
      </c>
      <c r="C1990" s="40" t="s">
        <v>2582</v>
      </c>
      <c r="D1990" s="75" t="s">
        <v>1269</v>
      </c>
      <c r="E1990" s="75" t="s">
        <v>1266</v>
      </c>
      <c r="F1990" s="75" t="s">
        <v>1268</v>
      </c>
      <c r="G1990" s="75" t="s">
        <v>1268</v>
      </c>
    </row>
    <row r="1991" spans="1:7" x14ac:dyDescent="0.2">
      <c r="A1991" s="40">
        <v>8355</v>
      </c>
      <c r="B1991" s="39" t="s">
        <v>777</v>
      </c>
      <c r="C1991" s="40" t="s">
        <v>2582</v>
      </c>
      <c r="D1991" s="75" t="s">
        <v>1269</v>
      </c>
      <c r="E1991" s="75" t="s">
        <v>1266</v>
      </c>
      <c r="F1991" s="75" t="s">
        <v>1268</v>
      </c>
      <c r="G1991" s="75" t="s">
        <v>1267</v>
      </c>
    </row>
    <row r="1992" spans="1:7" x14ac:dyDescent="0.2">
      <c r="A1992" s="40">
        <v>8361</v>
      </c>
      <c r="B1992" s="39" t="s">
        <v>778</v>
      </c>
      <c r="C1992" s="40" t="s">
        <v>2582</v>
      </c>
      <c r="D1992" s="75" t="s">
        <v>1269</v>
      </c>
      <c r="E1992" s="75" t="s">
        <v>1266</v>
      </c>
      <c r="F1992" s="75" t="s">
        <v>1268</v>
      </c>
      <c r="G1992" s="75" t="s">
        <v>1267</v>
      </c>
    </row>
    <row r="1993" spans="1:7" x14ac:dyDescent="0.2">
      <c r="A1993" s="40">
        <v>8362</v>
      </c>
      <c r="B1993" s="39" t="s">
        <v>779</v>
      </c>
      <c r="C1993" s="40" t="s">
        <v>2582</v>
      </c>
      <c r="D1993" s="75" t="s">
        <v>1269</v>
      </c>
      <c r="E1993" s="75" t="s">
        <v>1266</v>
      </c>
      <c r="F1993" s="75" t="s">
        <v>1268</v>
      </c>
      <c r="G1993" s="75" t="s">
        <v>1267</v>
      </c>
    </row>
    <row r="1994" spans="1:7" x14ac:dyDescent="0.2">
      <c r="A1994" s="40">
        <v>8380</v>
      </c>
      <c r="B1994" s="39" t="s">
        <v>791</v>
      </c>
      <c r="C1994" s="40" t="s">
        <v>1806</v>
      </c>
      <c r="D1994" s="75" t="s">
        <v>1269</v>
      </c>
      <c r="E1994" s="75" t="s">
        <v>1266</v>
      </c>
      <c r="F1994" s="75" t="s">
        <v>1268</v>
      </c>
      <c r="G1994" s="75" t="s">
        <v>1268</v>
      </c>
    </row>
    <row r="1995" spans="1:7" x14ac:dyDescent="0.2">
      <c r="A1995" s="40">
        <v>8382</v>
      </c>
      <c r="B1995" s="39" t="s">
        <v>792</v>
      </c>
      <c r="C1995" s="40" t="s">
        <v>1806</v>
      </c>
      <c r="D1995" s="75" t="s">
        <v>1269</v>
      </c>
      <c r="E1995" s="75" t="s">
        <v>1266</v>
      </c>
      <c r="F1995" s="75" t="s">
        <v>1268</v>
      </c>
      <c r="G1995" s="75" t="s">
        <v>1267</v>
      </c>
    </row>
    <row r="1996" spans="1:7" x14ac:dyDescent="0.2">
      <c r="A1996" s="40">
        <v>8383</v>
      </c>
      <c r="B1996" s="39" t="s">
        <v>793</v>
      </c>
      <c r="C1996" s="40" t="s">
        <v>1806</v>
      </c>
      <c r="D1996" s="75" t="s">
        <v>1269</v>
      </c>
      <c r="E1996" s="75" t="s">
        <v>1266</v>
      </c>
      <c r="F1996" s="75" t="s">
        <v>1268</v>
      </c>
      <c r="G1996" s="75" t="s">
        <v>1267</v>
      </c>
    </row>
    <row r="1997" spans="1:7" x14ac:dyDescent="0.2">
      <c r="A1997" s="40">
        <v>8384</v>
      </c>
      <c r="B1997" s="39" t="s">
        <v>794</v>
      </c>
      <c r="C1997" s="40" t="s">
        <v>1806</v>
      </c>
      <c r="D1997" s="75" t="s">
        <v>1269</v>
      </c>
      <c r="E1997" s="75" t="s">
        <v>1266</v>
      </c>
      <c r="F1997" s="75" t="s">
        <v>1268</v>
      </c>
      <c r="G1997" s="75" t="s">
        <v>1268</v>
      </c>
    </row>
    <row r="1998" spans="1:7" x14ac:dyDescent="0.2">
      <c r="A1998" s="40">
        <v>8385</v>
      </c>
      <c r="B1998" s="39" t="s">
        <v>795</v>
      </c>
      <c r="C1998" s="40" t="s">
        <v>1806</v>
      </c>
      <c r="D1998" s="75" t="s">
        <v>1269</v>
      </c>
      <c r="E1998" s="75" t="s">
        <v>1266</v>
      </c>
      <c r="F1998" s="75" t="s">
        <v>1268</v>
      </c>
      <c r="G1998" s="75" t="s">
        <v>1267</v>
      </c>
    </row>
    <row r="1999" spans="1:7" x14ac:dyDescent="0.2">
      <c r="A1999" s="40">
        <v>8401</v>
      </c>
      <c r="B1999" s="39" t="s">
        <v>796</v>
      </c>
      <c r="C1999" s="40" t="s">
        <v>2582</v>
      </c>
      <c r="D1999" s="75" t="s">
        <v>1269</v>
      </c>
      <c r="E1999" s="75" t="s">
        <v>1266</v>
      </c>
      <c r="F1999" s="75" t="s">
        <v>1268</v>
      </c>
      <c r="G1999" s="75" t="s">
        <v>1268</v>
      </c>
    </row>
    <row r="2000" spans="1:7" x14ac:dyDescent="0.2">
      <c r="A2000" s="40">
        <v>8402</v>
      </c>
      <c r="B2000" s="39" t="s">
        <v>797</v>
      </c>
      <c r="C2000" s="40" t="s">
        <v>2582</v>
      </c>
      <c r="D2000" s="75" t="s">
        <v>1269</v>
      </c>
      <c r="E2000" s="75" t="s">
        <v>1266</v>
      </c>
      <c r="F2000" s="75" t="s">
        <v>1268</v>
      </c>
      <c r="G2000" s="75" t="s">
        <v>1267</v>
      </c>
    </row>
    <row r="2001" spans="1:7" x14ac:dyDescent="0.2">
      <c r="A2001" s="40">
        <v>8403</v>
      </c>
      <c r="B2001" s="39" t="s">
        <v>798</v>
      </c>
      <c r="C2001" s="40" t="s">
        <v>2582</v>
      </c>
      <c r="D2001" s="75" t="s">
        <v>1269</v>
      </c>
      <c r="E2001" s="75" t="s">
        <v>1266</v>
      </c>
      <c r="F2001" s="75" t="s">
        <v>1268</v>
      </c>
      <c r="G2001" s="75" t="s">
        <v>1268</v>
      </c>
    </row>
    <row r="2002" spans="1:7" x14ac:dyDescent="0.2">
      <c r="A2002" s="40">
        <v>8410</v>
      </c>
      <c r="B2002" s="39" t="s">
        <v>799</v>
      </c>
      <c r="C2002" s="40" t="s">
        <v>2582</v>
      </c>
      <c r="D2002" s="75" t="s">
        <v>1269</v>
      </c>
      <c r="E2002" s="75" t="s">
        <v>1266</v>
      </c>
      <c r="F2002" s="75" t="s">
        <v>1268</v>
      </c>
      <c r="G2002" s="75" t="s">
        <v>1268</v>
      </c>
    </row>
    <row r="2003" spans="1:7" x14ac:dyDescent="0.2">
      <c r="A2003" s="40">
        <v>8411</v>
      </c>
      <c r="B2003" s="39" t="s">
        <v>800</v>
      </c>
      <c r="C2003" s="40" t="s">
        <v>2582</v>
      </c>
      <c r="D2003" s="75" t="s">
        <v>1269</v>
      </c>
      <c r="E2003" s="75" t="s">
        <v>1266</v>
      </c>
      <c r="F2003" s="75" t="s">
        <v>1268</v>
      </c>
      <c r="G2003" s="75" t="s">
        <v>1267</v>
      </c>
    </row>
    <row r="2004" spans="1:7" x14ac:dyDescent="0.2">
      <c r="A2004" s="40">
        <v>8412</v>
      </c>
      <c r="B2004" s="39" t="s">
        <v>801</v>
      </c>
      <c r="C2004" s="40" t="s">
        <v>2582</v>
      </c>
      <c r="D2004" s="75" t="s">
        <v>1269</v>
      </c>
      <c r="E2004" s="75" t="s">
        <v>1266</v>
      </c>
      <c r="F2004" s="75" t="s">
        <v>1268</v>
      </c>
      <c r="G2004" s="75" t="s">
        <v>1267</v>
      </c>
    </row>
    <row r="2005" spans="1:7" x14ac:dyDescent="0.2">
      <c r="A2005" s="40">
        <v>8413</v>
      </c>
      <c r="B2005" s="39" t="s">
        <v>802</v>
      </c>
      <c r="C2005" s="40" t="s">
        <v>2582</v>
      </c>
      <c r="D2005" s="75" t="s">
        <v>1269</v>
      </c>
      <c r="E2005" s="75" t="s">
        <v>1266</v>
      </c>
      <c r="F2005" s="75" t="s">
        <v>1268</v>
      </c>
      <c r="G2005" s="75" t="s">
        <v>1267</v>
      </c>
    </row>
    <row r="2006" spans="1:7" x14ac:dyDescent="0.2">
      <c r="A2006" s="40">
        <v>8421</v>
      </c>
      <c r="B2006" s="39" t="s">
        <v>803</v>
      </c>
      <c r="C2006" s="40" t="s">
        <v>2582</v>
      </c>
      <c r="D2006" s="75" t="s">
        <v>1269</v>
      </c>
      <c r="E2006" s="75" t="s">
        <v>1266</v>
      </c>
      <c r="F2006" s="75" t="s">
        <v>1268</v>
      </c>
      <c r="G2006" s="75" t="s">
        <v>1268</v>
      </c>
    </row>
    <row r="2007" spans="1:7" x14ac:dyDescent="0.2">
      <c r="A2007" s="40">
        <v>8422</v>
      </c>
      <c r="B2007" s="39" t="s">
        <v>804</v>
      </c>
      <c r="C2007" s="40" t="s">
        <v>2582</v>
      </c>
      <c r="D2007" s="75" t="s">
        <v>1269</v>
      </c>
      <c r="E2007" s="75" t="s">
        <v>1266</v>
      </c>
      <c r="F2007" s="75" t="s">
        <v>1268</v>
      </c>
      <c r="G2007" s="75" t="s">
        <v>1267</v>
      </c>
    </row>
    <row r="2008" spans="1:7" x14ac:dyDescent="0.2">
      <c r="A2008" s="40">
        <v>8423</v>
      </c>
      <c r="B2008" s="39" t="s">
        <v>805</v>
      </c>
      <c r="C2008" s="40" t="s">
        <v>2582</v>
      </c>
      <c r="D2008" s="75" t="s">
        <v>1269</v>
      </c>
      <c r="E2008" s="75" t="s">
        <v>1266</v>
      </c>
      <c r="F2008" s="75" t="s">
        <v>1268</v>
      </c>
      <c r="G2008" s="75" t="s">
        <v>1267</v>
      </c>
    </row>
    <row r="2009" spans="1:7" x14ac:dyDescent="0.2">
      <c r="A2009" s="40">
        <v>8424</v>
      </c>
      <c r="B2009" s="39" t="s">
        <v>806</v>
      </c>
      <c r="C2009" s="40" t="s">
        <v>2582</v>
      </c>
      <c r="D2009" s="75" t="s">
        <v>1269</v>
      </c>
      <c r="E2009" s="75" t="s">
        <v>1266</v>
      </c>
      <c r="F2009" s="75" t="s">
        <v>1268</v>
      </c>
      <c r="G2009" s="75" t="s">
        <v>1267</v>
      </c>
    </row>
    <row r="2010" spans="1:7" x14ac:dyDescent="0.2">
      <c r="A2010" s="40">
        <v>8430</v>
      </c>
      <c r="B2010" s="39" t="s">
        <v>807</v>
      </c>
      <c r="C2010" s="40" t="s">
        <v>2582</v>
      </c>
      <c r="D2010" s="75" t="s">
        <v>1269</v>
      </c>
      <c r="E2010" s="75" t="s">
        <v>1266</v>
      </c>
      <c r="F2010" s="75" t="s">
        <v>1268</v>
      </c>
      <c r="G2010" s="75" t="s">
        <v>1268</v>
      </c>
    </row>
    <row r="2011" spans="1:7" x14ac:dyDescent="0.2">
      <c r="A2011" s="40">
        <v>8435</v>
      </c>
      <c r="B2011" s="39" t="s">
        <v>808</v>
      </c>
      <c r="C2011" s="40" t="s">
        <v>2582</v>
      </c>
      <c r="D2011" s="75" t="s">
        <v>1269</v>
      </c>
      <c r="E2011" s="75" t="s">
        <v>1266</v>
      </c>
      <c r="F2011" s="75" t="s">
        <v>1268</v>
      </c>
      <c r="G2011" s="75" t="s">
        <v>1268</v>
      </c>
    </row>
    <row r="2012" spans="1:7" x14ac:dyDescent="0.2">
      <c r="A2012" s="40">
        <v>8441</v>
      </c>
      <c r="B2012" s="39" t="s">
        <v>809</v>
      </c>
      <c r="C2012" s="40" t="s">
        <v>2582</v>
      </c>
      <c r="D2012" s="75" t="s">
        <v>1269</v>
      </c>
      <c r="E2012" s="75" t="s">
        <v>1266</v>
      </c>
      <c r="F2012" s="75" t="s">
        <v>1268</v>
      </c>
      <c r="G2012" s="75" t="s">
        <v>1268</v>
      </c>
    </row>
    <row r="2013" spans="1:7" x14ac:dyDescent="0.2">
      <c r="A2013" s="40">
        <v>8442</v>
      </c>
      <c r="B2013" s="39" t="s">
        <v>810</v>
      </c>
      <c r="C2013" s="40" t="s">
        <v>2582</v>
      </c>
      <c r="D2013" s="75" t="s">
        <v>1269</v>
      </c>
      <c r="E2013" s="75" t="s">
        <v>1266</v>
      </c>
      <c r="F2013" s="75" t="s">
        <v>1268</v>
      </c>
      <c r="G2013" s="75" t="s">
        <v>1267</v>
      </c>
    </row>
    <row r="2014" spans="1:7" x14ac:dyDescent="0.2">
      <c r="A2014" s="40">
        <v>8443</v>
      </c>
      <c r="B2014" s="39" t="s">
        <v>811</v>
      </c>
      <c r="C2014" s="40" t="s">
        <v>2582</v>
      </c>
      <c r="D2014" s="75" t="s">
        <v>1269</v>
      </c>
      <c r="E2014" s="75" t="s">
        <v>1266</v>
      </c>
      <c r="F2014" s="75" t="s">
        <v>1268</v>
      </c>
      <c r="G2014" s="75" t="s">
        <v>1268</v>
      </c>
    </row>
    <row r="2015" spans="1:7" x14ac:dyDescent="0.2">
      <c r="A2015" s="40">
        <v>8444</v>
      </c>
      <c r="B2015" s="39" t="s">
        <v>812</v>
      </c>
      <c r="C2015" s="40" t="s">
        <v>2582</v>
      </c>
      <c r="D2015" s="75" t="s">
        <v>1269</v>
      </c>
      <c r="E2015" s="75" t="s">
        <v>1266</v>
      </c>
      <c r="F2015" s="75" t="s">
        <v>1268</v>
      </c>
      <c r="G2015" s="75" t="s">
        <v>1267</v>
      </c>
    </row>
    <row r="2016" spans="1:7" x14ac:dyDescent="0.2">
      <c r="A2016" s="40">
        <v>8451</v>
      </c>
      <c r="B2016" s="39" t="s">
        <v>813</v>
      </c>
      <c r="C2016" s="40" t="s">
        <v>2582</v>
      </c>
      <c r="D2016" s="75" t="s">
        <v>1269</v>
      </c>
      <c r="E2016" s="75" t="s">
        <v>1266</v>
      </c>
      <c r="F2016" s="75" t="s">
        <v>1268</v>
      </c>
      <c r="G2016" s="75" t="s">
        <v>1267</v>
      </c>
    </row>
    <row r="2017" spans="1:7" x14ac:dyDescent="0.2">
      <c r="A2017" s="40">
        <v>8452</v>
      </c>
      <c r="B2017" s="39" t="s">
        <v>814</v>
      </c>
      <c r="C2017" s="40" t="s">
        <v>2582</v>
      </c>
      <c r="D2017" s="75" t="s">
        <v>1269</v>
      </c>
      <c r="E2017" s="75" t="s">
        <v>1266</v>
      </c>
      <c r="F2017" s="75" t="s">
        <v>1268</v>
      </c>
      <c r="G2017" s="75" t="s">
        <v>1268</v>
      </c>
    </row>
    <row r="2018" spans="1:7" x14ac:dyDescent="0.2">
      <c r="A2018" s="40">
        <v>8453</v>
      </c>
      <c r="B2018" s="39" t="s">
        <v>815</v>
      </c>
      <c r="C2018" s="40" t="s">
        <v>2582</v>
      </c>
      <c r="D2018" s="75" t="s">
        <v>1269</v>
      </c>
      <c r="E2018" s="75" t="s">
        <v>1266</v>
      </c>
      <c r="F2018" s="75" t="s">
        <v>1268</v>
      </c>
      <c r="G2018" s="75" t="s">
        <v>1267</v>
      </c>
    </row>
    <row r="2019" spans="1:7" x14ac:dyDescent="0.2">
      <c r="A2019" s="40">
        <v>8454</v>
      </c>
      <c r="B2019" s="39" t="s">
        <v>816</v>
      </c>
      <c r="C2019" s="40" t="s">
        <v>2582</v>
      </c>
      <c r="D2019" s="75" t="s">
        <v>1269</v>
      </c>
      <c r="E2019" s="75" t="s">
        <v>1266</v>
      </c>
      <c r="F2019" s="75" t="s">
        <v>1268</v>
      </c>
      <c r="G2019" s="75" t="s">
        <v>1268</v>
      </c>
    </row>
    <row r="2020" spans="1:7" x14ac:dyDescent="0.2">
      <c r="A2020" s="40">
        <v>8455</v>
      </c>
      <c r="B2020" s="39" t="s">
        <v>817</v>
      </c>
      <c r="C2020" s="40" t="s">
        <v>2582</v>
      </c>
      <c r="D2020" s="75" t="s">
        <v>1269</v>
      </c>
      <c r="E2020" s="75" t="s">
        <v>1266</v>
      </c>
      <c r="F2020" s="75" t="s">
        <v>1268</v>
      </c>
      <c r="G2020" s="75" t="s">
        <v>1267</v>
      </c>
    </row>
    <row r="2021" spans="1:7" x14ac:dyDescent="0.2">
      <c r="A2021" s="40">
        <v>8461</v>
      </c>
      <c r="B2021" s="39" t="s">
        <v>818</v>
      </c>
      <c r="C2021" s="40" t="s">
        <v>2582</v>
      </c>
      <c r="D2021" s="75" t="s">
        <v>1269</v>
      </c>
      <c r="E2021" s="75" t="s">
        <v>1266</v>
      </c>
      <c r="F2021" s="75" t="s">
        <v>1268</v>
      </c>
      <c r="G2021" s="75" t="s">
        <v>1268</v>
      </c>
    </row>
    <row r="2022" spans="1:7" x14ac:dyDescent="0.2">
      <c r="A2022" s="40">
        <v>8462</v>
      </c>
      <c r="B2022" s="39" t="s">
        <v>819</v>
      </c>
      <c r="C2022" s="40" t="s">
        <v>2582</v>
      </c>
      <c r="D2022" s="75" t="s">
        <v>1269</v>
      </c>
      <c r="E2022" s="75" t="s">
        <v>1266</v>
      </c>
      <c r="F2022" s="75" t="s">
        <v>1268</v>
      </c>
      <c r="G2022" s="75" t="s">
        <v>1268</v>
      </c>
    </row>
    <row r="2023" spans="1:7" x14ac:dyDescent="0.2">
      <c r="A2023" s="40">
        <v>8463</v>
      </c>
      <c r="B2023" s="39" t="s">
        <v>820</v>
      </c>
      <c r="C2023" s="40" t="s">
        <v>2582</v>
      </c>
      <c r="D2023" s="75" t="s">
        <v>1269</v>
      </c>
      <c r="E2023" s="75" t="s">
        <v>1266</v>
      </c>
      <c r="F2023" s="75" t="s">
        <v>1268</v>
      </c>
      <c r="G2023" s="75" t="s">
        <v>1268</v>
      </c>
    </row>
    <row r="2024" spans="1:7" x14ac:dyDescent="0.2">
      <c r="A2024" s="40">
        <v>8471</v>
      </c>
      <c r="B2024" s="39" t="s">
        <v>821</v>
      </c>
      <c r="C2024" s="40" t="s">
        <v>2582</v>
      </c>
      <c r="D2024" s="75" t="s">
        <v>1269</v>
      </c>
      <c r="E2024" s="75" t="s">
        <v>1266</v>
      </c>
      <c r="F2024" s="75" t="s">
        <v>1268</v>
      </c>
      <c r="G2024" s="75" t="s">
        <v>1268</v>
      </c>
    </row>
    <row r="2025" spans="1:7" x14ac:dyDescent="0.2">
      <c r="A2025" s="40">
        <v>8472</v>
      </c>
      <c r="B2025" s="39" t="s">
        <v>822</v>
      </c>
      <c r="C2025" s="40" t="s">
        <v>2582</v>
      </c>
      <c r="D2025" s="75" t="s">
        <v>1269</v>
      </c>
      <c r="E2025" s="75" t="s">
        <v>1266</v>
      </c>
      <c r="F2025" s="75" t="s">
        <v>1268</v>
      </c>
      <c r="G2025" s="75" t="s">
        <v>1268</v>
      </c>
    </row>
    <row r="2026" spans="1:7" x14ac:dyDescent="0.2">
      <c r="A2026" s="40">
        <v>8473</v>
      </c>
      <c r="B2026" s="39" t="s">
        <v>823</v>
      </c>
      <c r="C2026" s="40" t="s">
        <v>2582</v>
      </c>
      <c r="D2026" s="75" t="s">
        <v>1269</v>
      </c>
      <c r="E2026" s="75" t="s">
        <v>1266</v>
      </c>
      <c r="F2026" s="75" t="s">
        <v>1268</v>
      </c>
      <c r="G2026" s="75" t="s">
        <v>1267</v>
      </c>
    </row>
    <row r="2027" spans="1:7" x14ac:dyDescent="0.2">
      <c r="A2027" s="40">
        <v>8480</v>
      </c>
      <c r="B2027" s="39" t="s">
        <v>829</v>
      </c>
      <c r="C2027" s="40" t="s">
        <v>2582</v>
      </c>
      <c r="D2027" s="75" t="s">
        <v>1269</v>
      </c>
      <c r="E2027" s="75" t="s">
        <v>1266</v>
      </c>
      <c r="F2027" s="75" t="s">
        <v>1268</v>
      </c>
      <c r="G2027" s="75" t="s">
        <v>1268</v>
      </c>
    </row>
    <row r="2028" spans="1:7" x14ac:dyDescent="0.2">
      <c r="A2028" s="40">
        <v>8481</v>
      </c>
      <c r="B2028" s="39" t="s">
        <v>830</v>
      </c>
      <c r="C2028" s="40" t="s">
        <v>2582</v>
      </c>
      <c r="D2028" s="75" t="s">
        <v>1269</v>
      </c>
      <c r="E2028" s="75" t="s">
        <v>1266</v>
      </c>
      <c r="F2028" s="75" t="s">
        <v>1268</v>
      </c>
      <c r="G2028" s="75" t="s">
        <v>1267</v>
      </c>
    </row>
    <row r="2029" spans="1:7" x14ac:dyDescent="0.2">
      <c r="A2029" s="40">
        <v>8482</v>
      </c>
      <c r="B2029" s="39" t="s">
        <v>831</v>
      </c>
      <c r="C2029" s="40" t="s">
        <v>2582</v>
      </c>
      <c r="D2029" s="75" t="s">
        <v>1269</v>
      </c>
      <c r="E2029" s="75" t="s">
        <v>1266</v>
      </c>
      <c r="F2029" s="75" t="s">
        <v>1268</v>
      </c>
      <c r="G2029" s="75" t="s">
        <v>1267</v>
      </c>
    </row>
    <row r="2030" spans="1:7" x14ac:dyDescent="0.2">
      <c r="A2030" s="40">
        <v>8483</v>
      </c>
      <c r="B2030" s="39" t="s">
        <v>832</v>
      </c>
      <c r="C2030" s="40" t="s">
        <v>2582</v>
      </c>
      <c r="D2030" s="75" t="s">
        <v>1269</v>
      </c>
      <c r="E2030" s="75" t="s">
        <v>1266</v>
      </c>
      <c r="F2030" s="75" t="s">
        <v>1268</v>
      </c>
      <c r="G2030" s="75" t="s">
        <v>1267</v>
      </c>
    </row>
    <row r="2031" spans="1:7" x14ac:dyDescent="0.2">
      <c r="A2031" s="40">
        <v>8484</v>
      </c>
      <c r="B2031" s="39" t="s">
        <v>833</v>
      </c>
      <c r="C2031" s="40" t="s">
        <v>2582</v>
      </c>
      <c r="D2031" s="75" t="s">
        <v>1269</v>
      </c>
      <c r="E2031" s="75" t="s">
        <v>1266</v>
      </c>
      <c r="F2031" s="75" t="s">
        <v>1268</v>
      </c>
      <c r="G2031" s="75" t="s">
        <v>1267</v>
      </c>
    </row>
    <row r="2032" spans="1:7" x14ac:dyDescent="0.2">
      <c r="A2032" s="40">
        <v>8490</v>
      </c>
      <c r="B2032" s="39" t="s">
        <v>834</v>
      </c>
      <c r="C2032" s="40" t="s">
        <v>2582</v>
      </c>
      <c r="D2032" s="75" t="s">
        <v>1269</v>
      </c>
      <c r="E2032" s="75" t="s">
        <v>1266</v>
      </c>
      <c r="F2032" s="75" t="s">
        <v>1268</v>
      </c>
      <c r="G2032" s="75" t="s">
        <v>1268</v>
      </c>
    </row>
    <row r="2033" spans="1:7" x14ac:dyDescent="0.2">
      <c r="A2033" s="40">
        <v>8492</v>
      </c>
      <c r="B2033" s="39" t="s">
        <v>835</v>
      </c>
      <c r="C2033" s="40" t="s">
        <v>2582</v>
      </c>
      <c r="D2033" s="75" t="s">
        <v>1269</v>
      </c>
      <c r="E2033" s="75" t="s">
        <v>1266</v>
      </c>
      <c r="F2033" s="75" t="s">
        <v>1268</v>
      </c>
      <c r="G2033" s="75" t="s">
        <v>1267</v>
      </c>
    </row>
    <row r="2034" spans="1:7" x14ac:dyDescent="0.2">
      <c r="A2034" s="40">
        <v>8493</v>
      </c>
      <c r="B2034" s="39" t="s">
        <v>836</v>
      </c>
      <c r="C2034" s="40" t="s">
        <v>2582</v>
      </c>
      <c r="D2034" s="75" t="s">
        <v>1269</v>
      </c>
      <c r="E2034" s="75" t="s">
        <v>1266</v>
      </c>
      <c r="F2034" s="75" t="s">
        <v>1268</v>
      </c>
      <c r="G2034" s="75" t="s">
        <v>1267</v>
      </c>
    </row>
    <row r="2035" spans="1:7" x14ac:dyDescent="0.2">
      <c r="A2035" s="40">
        <v>8501</v>
      </c>
      <c r="B2035" s="39" t="s">
        <v>837</v>
      </c>
      <c r="C2035" s="40" t="s">
        <v>2582</v>
      </c>
      <c r="D2035" s="75" t="s">
        <v>1269</v>
      </c>
      <c r="E2035" s="75" t="s">
        <v>1266</v>
      </c>
      <c r="F2035" s="75" t="s">
        <v>1268</v>
      </c>
      <c r="G2035" s="75" t="s">
        <v>1268</v>
      </c>
    </row>
    <row r="2036" spans="1:7" x14ac:dyDescent="0.2">
      <c r="A2036" s="40">
        <v>8502</v>
      </c>
      <c r="B2036" s="39" t="s">
        <v>838</v>
      </c>
      <c r="C2036" s="40" t="s">
        <v>2582</v>
      </c>
      <c r="D2036" s="75" t="s">
        <v>1269</v>
      </c>
      <c r="E2036" s="75" t="s">
        <v>1266</v>
      </c>
      <c r="F2036" s="75" t="s">
        <v>1268</v>
      </c>
      <c r="G2036" s="75" t="s">
        <v>1268</v>
      </c>
    </row>
    <row r="2037" spans="1:7" x14ac:dyDescent="0.2">
      <c r="A2037" s="40">
        <v>8503</v>
      </c>
      <c r="B2037" s="39" t="s">
        <v>839</v>
      </c>
      <c r="C2037" s="40" t="s">
        <v>2582</v>
      </c>
      <c r="D2037" s="75" t="s">
        <v>1269</v>
      </c>
      <c r="E2037" s="75" t="s">
        <v>1266</v>
      </c>
      <c r="F2037" s="75" t="s">
        <v>1268</v>
      </c>
      <c r="G2037" s="75" t="s">
        <v>1267</v>
      </c>
    </row>
    <row r="2038" spans="1:7" x14ac:dyDescent="0.2">
      <c r="A2038" s="40">
        <v>8504</v>
      </c>
      <c r="B2038" s="39" t="s">
        <v>840</v>
      </c>
      <c r="C2038" s="40" t="s">
        <v>2582</v>
      </c>
      <c r="D2038" s="75" t="s">
        <v>1269</v>
      </c>
      <c r="E2038" s="75" t="s">
        <v>1266</v>
      </c>
      <c r="F2038" s="75" t="s">
        <v>1268</v>
      </c>
      <c r="G2038" s="75" t="s">
        <v>1268</v>
      </c>
    </row>
    <row r="2039" spans="1:7" x14ac:dyDescent="0.2">
      <c r="A2039" s="40">
        <v>8505</v>
      </c>
      <c r="B2039" s="39" t="s">
        <v>841</v>
      </c>
      <c r="C2039" s="40" t="s">
        <v>2582</v>
      </c>
      <c r="D2039" s="75" t="s">
        <v>1269</v>
      </c>
      <c r="E2039" s="75" t="s">
        <v>1266</v>
      </c>
      <c r="F2039" s="75" t="s">
        <v>1268</v>
      </c>
      <c r="G2039" s="75" t="s">
        <v>1268</v>
      </c>
    </row>
    <row r="2040" spans="1:7" x14ac:dyDescent="0.2">
      <c r="A2040" s="40">
        <v>8510</v>
      </c>
      <c r="B2040" s="39" t="s">
        <v>842</v>
      </c>
      <c r="C2040" s="40" t="s">
        <v>2582</v>
      </c>
      <c r="D2040" s="75" t="s">
        <v>1269</v>
      </c>
      <c r="E2040" s="75" t="s">
        <v>1266</v>
      </c>
      <c r="F2040" s="75" t="s">
        <v>1268</v>
      </c>
      <c r="G2040" s="75" t="s">
        <v>1268</v>
      </c>
    </row>
    <row r="2041" spans="1:7" x14ac:dyDescent="0.2">
      <c r="A2041" s="40">
        <v>8511</v>
      </c>
      <c r="B2041" s="39" t="s">
        <v>843</v>
      </c>
      <c r="C2041" s="40" t="s">
        <v>2582</v>
      </c>
      <c r="D2041" s="75" t="s">
        <v>1269</v>
      </c>
      <c r="E2041" s="75" t="s">
        <v>1266</v>
      </c>
      <c r="F2041" s="75" t="s">
        <v>1268</v>
      </c>
      <c r="G2041" s="75" t="s">
        <v>1268</v>
      </c>
    </row>
    <row r="2042" spans="1:7" x14ac:dyDescent="0.2">
      <c r="A2042" s="40">
        <v>8521</v>
      </c>
      <c r="B2042" s="39" t="s">
        <v>844</v>
      </c>
      <c r="C2042" s="40" t="s">
        <v>2582</v>
      </c>
      <c r="D2042" s="75" t="s">
        <v>1269</v>
      </c>
      <c r="E2042" s="75" t="s">
        <v>1266</v>
      </c>
      <c r="F2042" s="75" t="s">
        <v>1268</v>
      </c>
      <c r="G2042" s="75" t="s">
        <v>1267</v>
      </c>
    </row>
    <row r="2043" spans="1:7" x14ac:dyDescent="0.2">
      <c r="A2043" s="40">
        <v>8522</v>
      </c>
      <c r="B2043" s="39" t="s">
        <v>845</v>
      </c>
      <c r="C2043" s="40" t="s">
        <v>2582</v>
      </c>
      <c r="D2043" s="75" t="s">
        <v>1269</v>
      </c>
      <c r="E2043" s="75" t="s">
        <v>1266</v>
      </c>
      <c r="F2043" s="75" t="s">
        <v>1268</v>
      </c>
      <c r="G2043" s="75" t="s">
        <v>1268</v>
      </c>
    </row>
    <row r="2044" spans="1:7" x14ac:dyDescent="0.2">
      <c r="A2044" s="40">
        <v>8523</v>
      </c>
      <c r="B2044" s="39" t="s">
        <v>846</v>
      </c>
      <c r="C2044" s="40" t="s">
        <v>2582</v>
      </c>
      <c r="D2044" s="75" t="s">
        <v>1269</v>
      </c>
      <c r="E2044" s="75" t="s">
        <v>1266</v>
      </c>
      <c r="F2044" s="75" t="s">
        <v>1268</v>
      </c>
      <c r="G2044" s="75" t="s">
        <v>1268</v>
      </c>
    </row>
    <row r="2045" spans="1:7" x14ac:dyDescent="0.2">
      <c r="A2045" s="40">
        <v>8524</v>
      </c>
      <c r="B2045" s="39" t="s">
        <v>847</v>
      </c>
      <c r="C2045" s="40" t="s">
        <v>2582</v>
      </c>
      <c r="D2045" s="75" t="s">
        <v>1269</v>
      </c>
      <c r="E2045" s="75" t="s">
        <v>1266</v>
      </c>
      <c r="F2045" s="75" t="s">
        <v>1268</v>
      </c>
      <c r="G2045" s="75" t="s">
        <v>1267</v>
      </c>
    </row>
    <row r="2046" spans="1:7" x14ac:dyDescent="0.2">
      <c r="A2046" s="40">
        <v>8530</v>
      </c>
      <c r="B2046" s="39" t="s">
        <v>848</v>
      </c>
      <c r="C2046" s="40" t="s">
        <v>2582</v>
      </c>
      <c r="D2046" s="75" t="s">
        <v>1269</v>
      </c>
      <c r="E2046" s="75" t="s">
        <v>1266</v>
      </c>
      <c r="F2046" s="75" t="s">
        <v>1268</v>
      </c>
      <c r="G2046" s="75" t="s">
        <v>1268</v>
      </c>
    </row>
    <row r="2047" spans="1:7" x14ac:dyDescent="0.2">
      <c r="A2047" s="40">
        <v>8541</v>
      </c>
      <c r="B2047" s="39" t="s">
        <v>849</v>
      </c>
      <c r="C2047" s="40" t="s">
        <v>2582</v>
      </c>
      <c r="D2047" s="75" t="s">
        <v>1269</v>
      </c>
      <c r="E2047" s="75" t="s">
        <v>1266</v>
      </c>
      <c r="F2047" s="75" t="s">
        <v>1268</v>
      </c>
      <c r="G2047" s="75" t="s">
        <v>1268</v>
      </c>
    </row>
    <row r="2048" spans="1:7" x14ac:dyDescent="0.2">
      <c r="A2048" s="40">
        <v>8542</v>
      </c>
      <c r="B2048" s="39" t="s">
        <v>850</v>
      </c>
      <c r="C2048" s="40" t="s">
        <v>2582</v>
      </c>
      <c r="D2048" s="75" t="s">
        <v>1269</v>
      </c>
      <c r="E2048" s="75" t="s">
        <v>1266</v>
      </c>
      <c r="F2048" s="75" t="s">
        <v>1268</v>
      </c>
      <c r="G2048" s="75" t="s">
        <v>1268</v>
      </c>
    </row>
    <row r="2049" spans="1:7" x14ac:dyDescent="0.2">
      <c r="A2049" s="40">
        <v>8543</v>
      </c>
      <c r="B2049" s="39" t="s">
        <v>851</v>
      </c>
      <c r="C2049" s="40" t="s">
        <v>2582</v>
      </c>
      <c r="D2049" s="75" t="s">
        <v>1269</v>
      </c>
      <c r="E2049" s="75" t="s">
        <v>1266</v>
      </c>
      <c r="F2049" s="75" t="s">
        <v>1268</v>
      </c>
      <c r="G2049" s="75" t="s">
        <v>1267</v>
      </c>
    </row>
    <row r="2050" spans="1:7" x14ac:dyDescent="0.2">
      <c r="A2050" s="40">
        <v>8544</v>
      </c>
      <c r="B2050" s="39" t="s">
        <v>852</v>
      </c>
      <c r="C2050" s="40" t="s">
        <v>2582</v>
      </c>
      <c r="D2050" s="75" t="s">
        <v>1269</v>
      </c>
      <c r="E2050" s="75" t="s">
        <v>1266</v>
      </c>
      <c r="F2050" s="75" t="s">
        <v>1268</v>
      </c>
      <c r="G2050" s="75" t="s">
        <v>1267</v>
      </c>
    </row>
    <row r="2051" spans="1:7" x14ac:dyDescent="0.2">
      <c r="A2051" s="40">
        <v>8551</v>
      </c>
      <c r="B2051" s="39" t="s">
        <v>853</v>
      </c>
      <c r="C2051" s="40" t="s">
        <v>2582</v>
      </c>
      <c r="D2051" s="75" t="s">
        <v>1269</v>
      </c>
      <c r="E2051" s="75" t="s">
        <v>1266</v>
      </c>
      <c r="F2051" s="75" t="s">
        <v>1268</v>
      </c>
      <c r="G2051" s="75" t="s">
        <v>1268</v>
      </c>
    </row>
    <row r="2052" spans="1:7" x14ac:dyDescent="0.2">
      <c r="A2052" s="40">
        <v>8552</v>
      </c>
      <c r="B2052" s="39" t="s">
        <v>854</v>
      </c>
      <c r="C2052" s="40" t="s">
        <v>2582</v>
      </c>
      <c r="D2052" s="75" t="s">
        <v>1269</v>
      </c>
      <c r="E2052" s="75" t="s">
        <v>1266</v>
      </c>
      <c r="F2052" s="75" t="s">
        <v>1268</v>
      </c>
      <c r="G2052" s="75" t="s">
        <v>1268</v>
      </c>
    </row>
    <row r="2053" spans="1:7" x14ac:dyDescent="0.2">
      <c r="A2053" s="40">
        <v>8553</v>
      </c>
      <c r="B2053" s="39" t="s">
        <v>855</v>
      </c>
      <c r="C2053" s="40" t="s">
        <v>2582</v>
      </c>
      <c r="D2053" s="75" t="s">
        <v>1269</v>
      </c>
      <c r="E2053" s="75" t="s">
        <v>1266</v>
      </c>
      <c r="F2053" s="75" t="s">
        <v>1268</v>
      </c>
      <c r="G2053" s="75" t="s">
        <v>1267</v>
      </c>
    </row>
    <row r="2054" spans="1:7" x14ac:dyDescent="0.2">
      <c r="A2054" s="40">
        <v>8554</v>
      </c>
      <c r="B2054" s="39" t="s">
        <v>1091</v>
      </c>
      <c r="C2054" s="40" t="s">
        <v>2582</v>
      </c>
      <c r="D2054" s="75" t="s">
        <v>1269</v>
      </c>
      <c r="E2054" s="75" t="s">
        <v>1266</v>
      </c>
      <c r="F2054" s="75" t="s">
        <v>1268</v>
      </c>
      <c r="G2054" s="75" t="s">
        <v>1267</v>
      </c>
    </row>
    <row r="2055" spans="1:7" x14ac:dyDescent="0.2">
      <c r="A2055" s="40">
        <v>8561</v>
      </c>
      <c r="B2055" s="39" t="s">
        <v>1092</v>
      </c>
      <c r="C2055" s="40" t="s">
        <v>2582</v>
      </c>
      <c r="D2055" s="75" t="s">
        <v>1269</v>
      </c>
      <c r="E2055" s="75" t="s">
        <v>1266</v>
      </c>
      <c r="F2055" s="75" t="s">
        <v>1268</v>
      </c>
      <c r="G2055" s="75" t="s">
        <v>1267</v>
      </c>
    </row>
    <row r="2056" spans="1:7" x14ac:dyDescent="0.2">
      <c r="A2056" s="40">
        <v>8562</v>
      </c>
      <c r="B2056" s="39" t="s">
        <v>1093</v>
      </c>
      <c r="C2056" s="40" t="s">
        <v>2582</v>
      </c>
      <c r="D2056" s="75" t="s">
        <v>1269</v>
      </c>
      <c r="E2056" s="75" t="s">
        <v>1266</v>
      </c>
      <c r="F2056" s="75" t="s">
        <v>1268</v>
      </c>
      <c r="G2056" s="75" t="s">
        <v>1267</v>
      </c>
    </row>
    <row r="2057" spans="1:7" x14ac:dyDescent="0.2">
      <c r="A2057" s="40">
        <v>8563</v>
      </c>
      <c r="B2057" s="39" t="s">
        <v>1094</v>
      </c>
      <c r="C2057" s="40" t="s">
        <v>2582</v>
      </c>
      <c r="D2057" s="75" t="s">
        <v>1269</v>
      </c>
      <c r="E2057" s="75" t="s">
        <v>1266</v>
      </c>
      <c r="F2057" s="75" t="s">
        <v>1268</v>
      </c>
      <c r="G2057" s="75" t="s">
        <v>1268</v>
      </c>
    </row>
    <row r="2058" spans="1:7" x14ac:dyDescent="0.2">
      <c r="A2058" s="40">
        <v>8564</v>
      </c>
      <c r="B2058" s="39" t="s">
        <v>1095</v>
      </c>
      <c r="C2058" s="40" t="s">
        <v>2582</v>
      </c>
      <c r="D2058" s="75" t="s">
        <v>1269</v>
      </c>
      <c r="E2058" s="75" t="s">
        <v>1266</v>
      </c>
      <c r="F2058" s="75" t="s">
        <v>1268</v>
      </c>
      <c r="G2058" s="75" t="s">
        <v>1268</v>
      </c>
    </row>
    <row r="2059" spans="1:7" x14ac:dyDescent="0.2">
      <c r="A2059" s="40">
        <v>8565</v>
      </c>
      <c r="B2059" s="39" t="s">
        <v>1096</v>
      </c>
      <c r="C2059" s="40" t="s">
        <v>2582</v>
      </c>
      <c r="D2059" s="75" t="s">
        <v>1269</v>
      </c>
      <c r="E2059" s="75" t="s">
        <v>1266</v>
      </c>
      <c r="F2059" s="75" t="s">
        <v>1268</v>
      </c>
      <c r="G2059" s="75" t="s">
        <v>1267</v>
      </c>
    </row>
    <row r="2060" spans="1:7" x14ac:dyDescent="0.2">
      <c r="A2060" s="40">
        <v>8570</v>
      </c>
      <c r="B2060" s="39" t="s">
        <v>1097</v>
      </c>
      <c r="C2060" s="40" t="s">
        <v>2582</v>
      </c>
      <c r="D2060" s="75" t="s">
        <v>1269</v>
      </c>
      <c r="E2060" s="75" t="s">
        <v>1266</v>
      </c>
      <c r="F2060" s="75" t="s">
        <v>1268</v>
      </c>
      <c r="G2060" s="75" t="s">
        <v>1268</v>
      </c>
    </row>
    <row r="2061" spans="1:7" x14ac:dyDescent="0.2">
      <c r="A2061" s="40">
        <v>8572</v>
      </c>
      <c r="B2061" s="39" t="s">
        <v>1098</v>
      </c>
      <c r="C2061" s="40" t="s">
        <v>2582</v>
      </c>
      <c r="D2061" s="75" t="s">
        <v>1269</v>
      </c>
      <c r="E2061" s="75" t="s">
        <v>1266</v>
      </c>
      <c r="F2061" s="75" t="s">
        <v>1268</v>
      </c>
      <c r="G2061" s="75" t="s">
        <v>1268</v>
      </c>
    </row>
    <row r="2062" spans="1:7" x14ac:dyDescent="0.2">
      <c r="A2062" s="40">
        <v>8573</v>
      </c>
      <c r="B2062" s="39" t="s">
        <v>1099</v>
      </c>
      <c r="C2062" s="40" t="s">
        <v>2582</v>
      </c>
      <c r="D2062" s="75" t="s">
        <v>1269</v>
      </c>
      <c r="E2062" s="75" t="s">
        <v>1266</v>
      </c>
      <c r="F2062" s="75" t="s">
        <v>1268</v>
      </c>
      <c r="G2062" s="75" t="s">
        <v>1267</v>
      </c>
    </row>
    <row r="2063" spans="1:7" x14ac:dyDescent="0.2">
      <c r="A2063" s="40">
        <v>8580</v>
      </c>
      <c r="B2063" s="39" t="s">
        <v>1100</v>
      </c>
      <c r="C2063" s="40" t="s">
        <v>2582</v>
      </c>
      <c r="D2063" s="75" t="s">
        <v>1269</v>
      </c>
      <c r="E2063" s="75" t="s">
        <v>1266</v>
      </c>
      <c r="F2063" s="75" t="s">
        <v>1268</v>
      </c>
      <c r="G2063" s="75" t="s">
        <v>1268</v>
      </c>
    </row>
    <row r="2064" spans="1:7" x14ac:dyDescent="0.2">
      <c r="A2064" s="40">
        <v>8582</v>
      </c>
      <c r="B2064" s="39" t="s">
        <v>1101</v>
      </c>
      <c r="C2064" s="40" t="s">
        <v>2582</v>
      </c>
      <c r="D2064" s="75" t="s">
        <v>1269</v>
      </c>
      <c r="E2064" s="75" t="s">
        <v>1266</v>
      </c>
      <c r="F2064" s="75" t="s">
        <v>1268</v>
      </c>
      <c r="G2064" s="75" t="s">
        <v>1267</v>
      </c>
    </row>
    <row r="2065" spans="1:7" x14ac:dyDescent="0.2">
      <c r="A2065" s="40">
        <v>8583</v>
      </c>
      <c r="B2065" s="39" t="s">
        <v>1102</v>
      </c>
      <c r="C2065" s="40" t="s">
        <v>2582</v>
      </c>
      <c r="D2065" s="75" t="s">
        <v>1269</v>
      </c>
      <c r="E2065" s="75" t="s">
        <v>1266</v>
      </c>
      <c r="F2065" s="75" t="s">
        <v>1268</v>
      </c>
      <c r="G2065" s="75" t="s">
        <v>1268</v>
      </c>
    </row>
    <row r="2066" spans="1:7" x14ac:dyDescent="0.2">
      <c r="A2066" s="40">
        <v>8584</v>
      </c>
      <c r="B2066" s="39" t="s">
        <v>2501</v>
      </c>
      <c r="C2066" s="40" t="s">
        <v>2582</v>
      </c>
      <c r="D2066" s="75" t="s">
        <v>1269</v>
      </c>
      <c r="E2066" s="75" t="s">
        <v>1266</v>
      </c>
      <c r="F2066" s="75" t="s">
        <v>1268</v>
      </c>
      <c r="G2066" s="75" t="s">
        <v>1267</v>
      </c>
    </row>
    <row r="2067" spans="1:7" x14ac:dyDescent="0.2">
      <c r="A2067" s="40">
        <v>8591</v>
      </c>
      <c r="B2067" s="39" t="s">
        <v>1103</v>
      </c>
      <c r="C2067" s="40" t="s">
        <v>2582</v>
      </c>
      <c r="D2067" s="75" t="s">
        <v>1269</v>
      </c>
      <c r="E2067" s="75" t="s">
        <v>1266</v>
      </c>
      <c r="F2067" s="75" t="s">
        <v>1268</v>
      </c>
      <c r="G2067" s="75" t="s">
        <v>1267</v>
      </c>
    </row>
    <row r="2068" spans="1:7" x14ac:dyDescent="0.2">
      <c r="A2068" s="40">
        <v>8592</v>
      </c>
      <c r="B2068" s="39" t="s">
        <v>1104</v>
      </c>
      <c r="C2068" s="40" t="s">
        <v>2582</v>
      </c>
      <c r="D2068" s="75" t="s">
        <v>1269</v>
      </c>
      <c r="E2068" s="75" t="s">
        <v>1266</v>
      </c>
      <c r="F2068" s="75" t="s">
        <v>1268</v>
      </c>
      <c r="G2068" s="75" t="s">
        <v>1267</v>
      </c>
    </row>
    <row r="2069" spans="1:7" x14ac:dyDescent="0.2">
      <c r="A2069" s="40">
        <v>8593</v>
      </c>
      <c r="B2069" s="39" t="s">
        <v>1105</v>
      </c>
      <c r="C2069" s="40" t="s">
        <v>2582</v>
      </c>
      <c r="D2069" s="75" t="s">
        <v>1269</v>
      </c>
      <c r="E2069" s="75" t="s">
        <v>1266</v>
      </c>
      <c r="F2069" s="75" t="s">
        <v>1268</v>
      </c>
      <c r="G2069" s="75" t="s">
        <v>1267</v>
      </c>
    </row>
    <row r="2070" spans="1:7" x14ac:dyDescent="0.2">
      <c r="A2070" s="40">
        <v>8600</v>
      </c>
      <c r="B2070" s="39" t="s">
        <v>139</v>
      </c>
      <c r="C2070" s="40" t="s">
        <v>2582</v>
      </c>
      <c r="D2070" s="75" t="s">
        <v>1269</v>
      </c>
      <c r="E2070" s="75" t="s">
        <v>1266</v>
      </c>
      <c r="F2070" s="75" t="s">
        <v>1268</v>
      </c>
      <c r="G2070" s="75" t="s">
        <v>1268</v>
      </c>
    </row>
    <row r="2071" spans="1:7" x14ac:dyDescent="0.2">
      <c r="A2071" s="40">
        <v>8601</v>
      </c>
      <c r="B2071" s="39" t="s">
        <v>139</v>
      </c>
      <c r="C2071" s="40" t="s">
        <v>2582</v>
      </c>
      <c r="D2071" s="75" t="s">
        <v>1271</v>
      </c>
      <c r="E2071" s="75" t="s">
        <v>1266</v>
      </c>
      <c r="F2071" s="75" t="s">
        <v>1267</v>
      </c>
      <c r="G2071" s="75" t="s">
        <v>1268</v>
      </c>
    </row>
    <row r="2072" spans="1:7" x14ac:dyDescent="0.2">
      <c r="A2072" s="40">
        <v>8605</v>
      </c>
      <c r="B2072" s="39" t="s">
        <v>1106</v>
      </c>
      <c r="C2072" s="40" t="s">
        <v>2582</v>
      </c>
      <c r="D2072" s="75" t="s">
        <v>1269</v>
      </c>
      <c r="E2072" s="75" t="s">
        <v>1266</v>
      </c>
      <c r="F2072" s="75" t="s">
        <v>1268</v>
      </c>
      <c r="G2072" s="75" t="s">
        <v>1268</v>
      </c>
    </row>
    <row r="2073" spans="1:7" x14ac:dyDescent="0.2">
      <c r="A2073" s="40">
        <v>8607</v>
      </c>
      <c r="B2073" s="39" t="s">
        <v>1106</v>
      </c>
      <c r="C2073" s="40" t="s">
        <v>2582</v>
      </c>
      <c r="D2073" s="75" t="s">
        <v>1271</v>
      </c>
      <c r="E2073" s="75" t="s">
        <v>1266</v>
      </c>
      <c r="F2073" s="75" t="s">
        <v>1267</v>
      </c>
      <c r="G2073" s="75" t="s">
        <v>1268</v>
      </c>
    </row>
    <row r="2074" spans="1:7" x14ac:dyDescent="0.2">
      <c r="A2074" s="40">
        <v>8611</v>
      </c>
      <c r="B2074" s="39" t="s">
        <v>1107</v>
      </c>
      <c r="C2074" s="40" t="s">
        <v>2582</v>
      </c>
      <c r="D2074" s="75" t="s">
        <v>1269</v>
      </c>
      <c r="E2074" s="75" t="s">
        <v>1266</v>
      </c>
      <c r="F2074" s="75" t="s">
        <v>1268</v>
      </c>
      <c r="G2074" s="75" t="s">
        <v>1268</v>
      </c>
    </row>
    <row r="2075" spans="1:7" x14ac:dyDescent="0.2">
      <c r="A2075" s="40">
        <v>8612</v>
      </c>
      <c r="B2075" s="39" t="s">
        <v>1108</v>
      </c>
      <c r="C2075" s="40" t="s">
        <v>2582</v>
      </c>
      <c r="D2075" s="75" t="s">
        <v>1269</v>
      </c>
      <c r="E2075" s="75" t="s">
        <v>1266</v>
      </c>
      <c r="F2075" s="75" t="s">
        <v>1268</v>
      </c>
      <c r="G2075" s="75" t="s">
        <v>1267</v>
      </c>
    </row>
    <row r="2076" spans="1:7" x14ac:dyDescent="0.2">
      <c r="A2076" s="40">
        <v>8614</v>
      </c>
      <c r="B2076" s="39" t="s">
        <v>1879</v>
      </c>
      <c r="C2076" s="40" t="s">
        <v>2582</v>
      </c>
      <c r="D2076" s="75" t="s">
        <v>1269</v>
      </c>
      <c r="E2076" s="75" t="s">
        <v>1266</v>
      </c>
      <c r="F2076" s="75" t="s">
        <v>1268</v>
      </c>
      <c r="G2076" s="75" t="s">
        <v>1268</v>
      </c>
    </row>
    <row r="2077" spans="1:7" x14ac:dyDescent="0.2">
      <c r="A2077" s="40">
        <v>8616</v>
      </c>
      <c r="B2077" s="39" t="s">
        <v>1109</v>
      </c>
      <c r="C2077" s="40" t="s">
        <v>2582</v>
      </c>
      <c r="D2077" s="75" t="s">
        <v>1269</v>
      </c>
      <c r="E2077" s="75" t="s">
        <v>1266</v>
      </c>
      <c r="F2077" s="75" t="s">
        <v>1268</v>
      </c>
      <c r="G2077" s="75" t="s">
        <v>1267</v>
      </c>
    </row>
    <row r="2078" spans="1:7" x14ac:dyDescent="0.2">
      <c r="A2078" s="40">
        <v>8621</v>
      </c>
      <c r="B2078" s="39" t="s">
        <v>1110</v>
      </c>
      <c r="C2078" s="40" t="s">
        <v>2582</v>
      </c>
      <c r="D2078" s="75" t="s">
        <v>1269</v>
      </c>
      <c r="E2078" s="75" t="s">
        <v>1266</v>
      </c>
      <c r="F2078" s="75" t="s">
        <v>1268</v>
      </c>
      <c r="G2078" s="75" t="s">
        <v>1268</v>
      </c>
    </row>
    <row r="2079" spans="1:7" x14ac:dyDescent="0.2">
      <c r="A2079" s="40">
        <v>8622</v>
      </c>
      <c r="B2079" s="39" t="s">
        <v>1111</v>
      </c>
      <c r="C2079" s="40" t="s">
        <v>2582</v>
      </c>
      <c r="D2079" s="75" t="s">
        <v>1269</v>
      </c>
      <c r="E2079" s="75" t="s">
        <v>1266</v>
      </c>
      <c r="F2079" s="75" t="s">
        <v>1268</v>
      </c>
      <c r="G2079" s="75" t="s">
        <v>1267</v>
      </c>
    </row>
    <row r="2080" spans="1:7" x14ac:dyDescent="0.2">
      <c r="A2080" s="40">
        <v>8623</v>
      </c>
      <c r="B2080" s="39" t="s">
        <v>1112</v>
      </c>
      <c r="C2080" s="40" t="s">
        <v>2582</v>
      </c>
      <c r="D2080" s="75" t="s">
        <v>1269</v>
      </c>
      <c r="E2080" s="75" t="s">
        <v>1266</v>
      </c>
      <c r="F2080" s="75" t="s">
        <v>1268</v>
      </c>
      <c r="G2080" s="75" t="s">
        <v>1268</v>
      </c>
    </row>
    <row r="2081" spans="1:7" x14ac:dyDescent="0.2">
      <c r="A2081" s="40">
        <v>8624</v>
      </c>
      <c r="B2081" s="39" t="s">
        <v>2470</v>
      </c>
      <c r="C2081" s="40" t="s">
        <v>2582</v>
      </c>
      <c r="D2081" s="75" t="s">
        <v>1269</v>
      </c>
      <c r="E2081" s="75" t="s">
        <v>1266</v>
      </c>
      <c r="F2081" s="75" t="s">
        <v>1268</v>
      </c>
      <c r="G2081" s="75" t="s">
        <v>1267</v>
      </c>
    </row>
    <row r="2082" spans="1:7" x14ac:dyDescent="0.2">
      <c r="A2082" s="40">
        <v>8625</v>
      </c>
      <c r="B2082" s="39" t="s">
        <v>1113</v>
      </c>
      <c r="C2082" s="40" t="s">
        <v>2582</v>
      </c>
      <c r="D2082" s="75" t="s">
        <v>1269</v>
      </c>
      <c r="E2082" s="75" t="s">
        <v>1266</v>
      </c>
      <c r="F2082" s="75" t="s">
        <v>1268</v>
      </c>
      <c r="G2082" s="75" t="s">
        <v>1267</v>
      </c>
    </row>
    <row r="2083" spans="1:7" x14ac:dyDescent="0.2">
      <c r="A2083" s="40">
        <v>8630</v>
      </c>
      <c r="B2083" s="39" t="s">
        <v>1114</v>
      </c>
      <c r="C2083" s="40" t="s">
        <v>2582</v>
      </c>
      <c r="D2083" s="75" t="s">
        <v>1269</v>
      </c>
      <c r="E2083" s="75" t="s">
        <v>1266</v>
      </c>
      <c r="F2083" s="75" t="s">
        <v>1268</v>
      </c>
      <c r="G2083" s="75" t="s">
        <v>1268</v>
      </c>
    </row>
    <row r="2084" spans="1:7" x14ac:dyDescent="0.2">
      <c r="A2084" s="40">
        <v>8632</v>
      </c>
      <c r="B2084" s="39" t="s">
        <v>1115</v>
      </c>
      <c r="C2084" s="40" t="s">
        <v>2582</v>
      </c>
      <c r="D2084" s="75" t="s">
        <v>1269</v>
      </c>
      <c r="E2084" s="75" t="s">
        <v>1266</v>
      </c>
      <c r="F2084" s="75" t="s">
        <v>1268</v>
      </c>
      <c r="G2084" s="75" t="s">
        <v>1267</v>
      </c>
    </row>
    <row r="2085" spans="1:7" x14ac:dyDescent="0.2">
      <c r="A2085" s="40">
        <v>8634</v>
      </c>
      <c r="B2085" s="39" t="s">
        <v>1116</v>
      </c>
      <c r="C2085" s="40" t="s">
        <v>2582</v>
      </c>
      <c r="D2085" s="75" t="s">
        <v>1269</v>
      </c>
      <c r="E2085" s="75" t="s">
        <v>1266</v>
      </c>
      <c r="F2085" s="75" t="s">
        <v>1268</v>
      </c>
      <c r="G2085" s="75" t="s">
        <v>1267</v>
      </c>
    </row>
    <row r="2086" spans="1:7" x14ac:dyDescent="0.2">
      <c r="A2086" s="40">
        <v>8635</v>
      </c>
      <c r="B2086" s="39" t="s">
        <v>1117</v>
      </c>
      <c r="C2086" s="40" t="s">
        <v>2582</v>
      </c>
      <c r="D2086" s="75" t="s">
        <v>1269</v>
      </c>
      <c r="E2086" s="75" t="s">
        <v>1266</v>
      </c>
      <c r="F2086" s="75" t="s">
        <v>1268</v>
      </c>
      <c r="G2086" s="75" t="s">
        <v>1267</v>
      </c>
    </row>
    <row r="2087" spans="1:7" x14ac:dyDescent="0.2">
      <c r="A2087" s="40">
        <v>8636</v>
      </c>
      <c r="B2087" s="39" t="s">
        <v>1118</v>
      </c>
      <c r="C2087" s="40" t="s">
        <v>2582</v>
      </c>
      <c r="D2087" s="75" t="s">
        <v>1269</v>
      </c>
      <c r="E2087" s="75" t="s">
        <v>1266</v>
      </c>
      <c r="F2087" s="75" t="s">
        <v>1268</v>
      </c>
      <c r="G2087" s="75" t="s">
        <v>1267</v>
      </c>
    </row>
    <row r="2088" spans="1:7" x14ac:dyDescent="0.2">
      <c r="A2088" s="40">
        <v>8641</v>
      </c>
      <c r="B2088" s="39" t="s">
        <v>1119</v>
      </c>
      <c r="C2088" s="40" t="s">
        <v>2582</v>
      </c>
      <c r="D2088" s="75" t="s">
        <v>1269</v>
      </c>
      <c r="E2088" s="75" t="s">
        <v>1266</v>
      </c>
      <c r="F2088" s="75" t="s">
        <v>1268</v>
      </c>
      <c r="G2088" s="75" t="s">
        <v>1268</v>
      </c>
    </row>
    <row r="2089" spans="1:7" x14ac:dyDescent="0.2">
      <c r="A2089" s="40">
        <v>8642</v>
      </c>
      <c r="B2089" s="39" t="s">
        <v>1120</v>
      </c>
      <c r="C2089" s="40" t="s">
        <v>2582</v>
      </c>
      <c r="D2089" s="75" t="s">
        <v>1269</v>
      </c>
      <c r="E2089" s="75" t="s">
        <v>1266</v>
      </c>
      <c r="F2089" s="75" t="s">
        <v>1268</v>
      </c>
      <c r="G2089" s="75" t="s">
        <v>1267</v>
      </c>
    </row>
    <row r="2090" spans="1:7" x14ac:dyDescent="0.2">
      <c r="A2090" s="40">
        <v>8643</v>
      </c>
      <c r="B2090" s="39" t="s">
        <v>1121</v>
      </c>
      <c r="C2090" s="40" t="s">
        <v>2582</v>
      </c>
      <c r="D2090" s="75" t="s">
        <v>1269</v>
      </c>
      <c r="E2090" s="75" t="s">
        <v>1266</v>
      </c>
      <c r="F2090" s="75" t="s">
        <v>1268</v>
      </c>
      <c r="G2090" s="75" t="s">
        <v>1268</v>
      </c>
    </row>
    <row r="2091" spans="1:7" x14ac:dyDescent="0.2">
      <c r="A2091" s="40">
        <v>8644</v>
      </c>
      <c r="B2091" s="39" t="s">
        <v>1122</v>
      </c>
      <c r="C2091" s="40" t="s">
        <v>2582</v>
      </c>
      <c r="D2091" s="75" t="s">
        <v>1269</v>
      </c>
      <c r="E2091" s="75" t="s">
        <v>1266</v>
      </c>
      <c r="F2091" s="75" t="s">
        <v>1268</v>
      </c>
      <c r="G2091" s="75" t="s">
        <v>1267</v>
      </c>
    </row>
    <row r="2092" spans="1:7" x14ac:dyDescent="0.2">
      <c r="A2092" s="40">
        <v>8650</v>
      </c>
      <c r="B2092" s="39" t="s">
        <v>1123</v>
      </c>
      <c r="C2092" s="40" t="s">
        <v>2582</v>
      </c>
      <c r="D2092" s="75" t="s">
        <v>1269</v>
      </c>
      <c r="E2092" s="75" t="s">
        <v>1266</v>
      </c>
      <c r="F2092" s="75" t="s">
        <v>1268</v>
      </c>
      <c r="G2092" s="75" t="s">
        <v>1268</v>
      </c>
    </row>
    <row r="2093" spans="1:7" x14ac:dyDescent="0.2">
      <c r="A2093" s="40">
        <v>8652</v>
      </c>
      <c r="B2093" s="39" t="s">
        <v>1124</v>
      </c>
      <c r="C2093" s="40" t="s">
        <v>2582</v>
      </c>
      <c r="D2093" s="75" t="s">
        <v>1269</v>
      </c>
      <c r="E2093" s="75" t="s">
        <v>1266</v>
      </c>
      <c r="F2093" s="75" t="s">
        <v>1268</v>
      </c>
      <c r="G2093" s="75" t="s">
        <v>1267</v>
      </c>
    </row>
    <row r="2094" spans="1:7" x14ac:dyDescent="0.2">
      <c r="A2094" s="40">
        <v>8653</v>
      </c>
      <c r="B2094" s="39" t="s">
        <v>1125</v>
      </c>
      <c r="C2094" s="40" t="s">
        <v>2582</v>
      </c>
      <c r="D2094" s="75" t="s">
        <v>1269</v>
      </c>
      <c r="E2094" s="75" t="s">
        <v>1266</v>
      </c>
      <c r="F2094" s="75" t="s">
        <v>1268</v>
      </c>
      <c r="G2094" s="75" t="s">
        <v>1267</v>
      </c>
    </row>
    <row r="2095" spans="1:7" x14ac:dyDescent="0.2">
      <c r="A2095" s="40">
        <v>8654</v>
      </c>
      <c r="B2095" s="39" t="s">
        <v>1126</v>
      </c>
      <c r="C2095" s="40" t="s">
        <v>2582</v>
      </c>
      <c r="D2095" s="75" t="s">
        <v>1269</v>
      </c>
      <c r="E2095" s="75" t="s">
        <v>1266</v>
      </c>
      <c r="F2095" s="75" t="s">
        <v>1268</v>
      </c>
      <c r="G2095" s="75" t="s">
        <v>1267</v>
      </c>
    </row>
    <row r="2096" spans="1:7" x14ac:dyDescent="0.2">
      <c r="A2096" s="40">
        <v>8661</v>
      </c>
      <c r="B2096" s="39" t="s">
        <v>1127</v>
      </c>
      <c r="C2096" s="40" t="s">
        <v>2582</v>
      </c>
      <c r="D2096" s="75" t="s">
        <v>1269</v>
      </c>
      <c r="E2096" s="75" t="s">
        <v>1266</v>
      </c>
      <c r="F2096" s="75" t="s">
        <v>1268</v>
      </c>
      <c r="G2096" s="75" t="s">
        <v>1268</v>
      </c>
    </row>
    <row r="2097" spans="1:7" x14ac:dyDescent="0.2">
      <c r="A2097" s="40">
        <v>8662</v>
      </c>
      <c r="B2097" s="39" t="s">
        <v>1128</v>
      </c>
      <c r="C2097" s="40" t="s">
        <v>2582</v>
      </c>
      <c r="D2097" s="75" t="s">
        <v>1269</v>
      </c>
      <c r="E2097" s="75" t="s">
        <v>1266</v>
      </c>
      <c r="F2097" s="75" t="s">
        <v>1268</v>
      </c>
      <c r="G2097" s="75" t="s">
        <v>1267</v>
      </c>
    </row>
    <row r="2098" spans="1:7" x14ac:dyDescent="0.2">
      <c r="A2098" s="40">
        <v>8663</v>
      </c>
      <c r="B2098" s="39" t="s">
        <v>1129</v>
      </c>
      <c r="C2098" s="40" t="s">
        <v>2582</v>
      </c>
      <c r="D2098" s="75" t="s">
        <v>1269</v>
      </c>
      <c r="E2098" s="75" t="s">
        <v>1266</v>
      </c>
      <c r="F2098" s="75" t="s">
        <v>1268</v>
      </c>
      <c r="G2098" s="75" t="s">
        <v>1268</v>
      </c>
    </row>
    <row r="2099" spans="1:7" x14ac:dyDescent="0.2">
      <c r="A2099" s="40">
        <v>8664</v>
      </c>
      <c r="B2099" s="39" t="s">
        <v>1130</v>
      </c>
      <c r="C2099" s="40" t="s">
        <v>2582</v>
      </c>
      <c r="D2099" s="75" t="s">
        <v>1269</v>
      </c>
      <c r="E2099" s="75" t="s">
        <v>1266</v>
      </c>
      <c r="F2099" s="75" t="s">
        <v>1268</v>
      </c>
      <c r="G2099" s="75" t="s">
        <v>1267</v>
      </c>
    </row>
    <row r="2100" spans="1:7" x14ac:dyDescent="0.2">
      <c r="A2100" s="40">
        <v>8665</v>
      </c>
      <c r="B2100" s="39" t="s">
        <v>1131</v>
      </c>
      <c r="C2100" s="40" t="s">
        <v>2582</v>
      </c>
      <c r="D2100" s="75" t="s">
        <v>1269</v>
      </c>
      <c r="E2100" s="75" t="s">
        <v>1266</v>
      </c>
      <c r="F2100" s="75" t="s">
        <v>1268</v>
      </c>
      <c r="G2100" s="75" t="s">
        <v>1268</v>
      </c>
    </row>
    <row r="2101" spans="1:7" x14ac:dyDescent="0.2">
      <c r="A2101" s="40">
        <v>8670</v>
      </c>
      <c r="B2101" s="39" t="s">
        <v>1132</v>
      </c>
      <c r="C2101" s="40" t="s">
        <v>2582</v>
      </c>
      <c r="D2101" s="75" t="s">
        <v>1269</v>
      </c>
      <c r="E2101" s="75" t="s">
        <v>1266</v>
      </c>
      <c r="F2101" s="75" t="s">
        <v>1268</v>
      </c>
      <c r="G2101" s="75" t="s">
        <v>1268</v>
      </c>
    </row>
    <row r="2102" spans="1:7" x14ac:dyDescent="0.2">
      <c r="A2102" s="40">
        <v>8671</v>
      </c>
      <c r="B2102" s="39" t="s">
        <v>1133</v>
      </c>
      <c r="C2102" s="40" t="s">
        <v>2582</v>
      </c>
      <c r="D2102" s="75" t="s">
        <v>1269</v>
      </c>
      <c r="E2102" s="75" t="s">
        <v>1266</v>
      </c>
      <c r="F2102" s="75" t="s">
        <v>1268</v>
      </c>
      <c r="G2102" s="75" t="s">
        <v>1267</v>
      </c>
    </row>
    <row r="2103" spans="1:7" x14ac:dyDescent="0.2">
      <c r="A2103" s="40">
        <v>8672</v>
      </c>
      <c r="B2103" s="39" t="s">
        <v>1134</v>
      </c>
      <c r="C2103" s="40" t="s">
        <v>2582</v>
      </c>
      <c r="D2103" s="75" t="s">
        <v>1269</v>
      </c>
      <c r="E2103" s="75" t="s">
        <v>1266</v>
      </c>
      <c r="F2103" s="75" t="s">
        <v>1268</v>
      </c>
      <c r="G2103" s="75" t="s">
        <v>1267</v>
      </c>
    </row>
    <row r="2104" spans="1:7" x14ac:dyDescent="0.2">
      <c r="A2104" s="40">
        <v>8673</v>
      </c>
      <c r="B2104" s="39" t="s">
        <v>1135</v>
      </c>
      <c r="C2104" s="40" t="s">
        <v>2582</v>
      </c>
      <c r="D2104" s="75" t="s">
        <v>1269</v>
      </c>
      <c r="E2104" s="75" t="s">
        <v>1266</v>
      </c>
      <c r="F2104" s="75" t="s">
        <v>1268</v>
      </c>
      <c r="G2104" s="75" t="s">
        <v>1268</v>
      </c>
    </row>
    <row r="2105" spans="1:7" x14ac:dyDescent="0.2">
      <c r="A2105" s="40">
        <v>8674</v>
      </c>
      <c r="B2105" s="39" t="s">
        <v>1136</v>
      </c>
      <c r="C2105" s="40" t="s">
        <v>2582</v>
      </c>
      <c r="D2105" s="75" t="s">
        <v>1269</v>
      </c>
      <c r="E2105" s="75" t="s">
        <v>1266</v>
      </c>
      <c r="F2105" s="75" t="s">
        <v>1268</v>
      </c>
      <c r="G2105" s="75" t="s">
        <v>1268</v>
      </c>
    </row>
    <row r="2106" spans="1:7" x14ac:dyDescent="0.2">
      <c r="A2106" s="40">
        <v>8680</v>
      </c>
      <c r="B2106" s="39" t="s">
        <v>1137</v>
      </c>
      <c r="C2106" s="40" t="s">
        <v>2582</v>
      </c>
      <c r="D2106" s="75" t="s">
        <v>1269</v>
      </c>
      <c r="E2106" s="75" t="s">
        <v>1266</v>
      </c>
      <c r="F2106" s="75" t="s">
        <v>1268</v>
      </c>
      <c r="G2106" s="75" t="s">
        <v>1268</v>
      </c>
    </row>
    <row r="2107" spans="1:7" x14ac:dyDescent="0.2">
      <c r="A2107" s="40">
        <v>8682</v>
      </c>
      <c r="B2107" s="39" t="s">
        <v>1138</v>
      </c>
      <c r="C2107" s="40" t="s">
        <v>2582</v>
      </c>
      <c r="D2107" s="75" t="s">
        <v>1269</v>
      </c>
      <c r="E2107" s="75" t="s">
        <v>1266</v>
      </c>
      <c r="F2107" s="75" t="s">
        <v>1268</v>
      </c>
      <c r="G2107" s="75" t="s">
        <v>1267</v>
      </c>
    </row>
    <row r="2108" spans="1:7" x14ac:dyDescent="0.2">
      <c r="A2108" s="40">
        <v>8684</v>
      </c>
      <c r="B2108" s="39" t="s">
        <v>1139</v>
      </c>
      <c r="C2108" s="40" t="s">
        <v>2582</v>
      </c>
      <c r="D2108" s="75" t="s">
        <v>1269</v>
      </c>
      <c r="E2108" s="75" t="s">
        <v>1266</v>
      </c>
      <c r="F2108" s="75" t="s">
        <v>1268</v>
      </c>
      <c r="G2108" s="75" t="s">
        <v>1267</v>
      </c>
    </row>
    <row r="2109" spans="1:7" x14ac:dyDescent="0.2">
      <c r="A2109" s="40">
        <v>8685</v>
      </c>
      <c r="B2109" s="39" t="s">
        <v>1140</v>
      </c>
      <c r="C2109" s="40" t="s">
        <v>2582</v>
      </c>
      <c r="D2109" s="75" t="s">
        <v>1269</v>
      </c>
      <c r="E2109" s="75" t="s">
        <v>1266</v>
      </c>
      <c r="F2109" s="75" t="s">
        <v>1268</v>
      </c>
      <c r="G2109" s="75" t="s">
        <v>1267</v>
      </c>
    </row>
    <row r="2110" spans="1:7" x14ac:dyDescent="0.2">
      <c r="A2110" s="40">
        <v>8691</v>
      </c>
      <c r="B2110" s="39" t="s">
        <v>1141</v>
      </c>
      <c r="C2110" s="40" t="s">
        <v>2582</v>
      </c>
      <c r="D2110" s="75" t="s">
        <v>1269</v>
      </c>
      <c r="E2110" s="75" t="s">
        <v>1266</v>
      </c>
      <c r="F2110" s="75" t="s">
        <v>1268</v>
      </c>
      <c r="G2110" s="75" t="s">
        <v>1267</v>
      </c>
    </row>
    <row r="2111" spans="1:7" x14ac:dyDescent="0.2">
      <c r="A2111" s="40">
        <v>8692</v>
      </c>
      <c r="B2111" s="39" t="s">
        <v>1142</v>
      </c>
      <c r="C2111" s="40" t="s">
        <v>2582</v>
      </c>
      <c r="D2111" s="75" t="s">
        <v>1269</v>
      </c>
      <c r="E2111" s="75" t="s">
        <v>1266</v>
      </c>
      <c r="F2111" s="75" t="s">
        <v>1268</v>
      </c>
      <c r="G2111" s="75" t="s">
        <v>1268</v>
      </c>
    </row>
    <row r="2112" spans="1:7" x14ac:dyDescent="0.2">
      <c r="A2112" s="40">
        <v>8693</v>
      </c>
      <c r="B2112" s="39" t="s">
        <v>1143</v>
      </c>
      <c r="C2112" s="40" t="s">
        <v>2582</v>
      </c>
      <c r="D2112" s="75" t="s">
        <v>1269</v>
      </c>
      <c r="E2112" s="75" t="s">
        <v>1266</v>
      </c>
      <c r="F2112" s="75" t="s">
        <v>1268</v>
      </c>
      <c r="G2112" s="75" t="s">
        <v>1267</v>
      </c>
    </row>
    <row r="2113" spans="1:7" x14ac:dyDescent="0.2">
      <c r="A2113" s="40">
        <v>8694</v>
      </c>
      <c r="B2113" s="39" t="s">
        <v>1144</v>
      </c>
      <c r="C2113" s="40" t="s">
        <v>2582</v>
      </c>
      <c r="D2113" s="75" t="s">
        <v>1269</v>
      </c>
      <c r="E2113" s="75" t="s">
        <v>1266</v>
      </c>
      <c r="F2113" s="75" t="s">
        <v>1268</v>
      </c>
      <c r="G2113" s="75" t="s">
        <v>1267</v>
      </c>
    </row>
    <row r="2114" spans="1:7" x14ac:dyDescent="0.2">
      <c r="A2114" s="40">
        <v>8700</v>
      </c>
      <c r="B2114" s="39" t="s">
        <v>208</v>
      </c>
      <c r="C2114" s="40" t="s">
        <v>2582</v>
      </c>
      <c r="D2114" s="75" t="s">
        <v>1269</v>
      </c>
      <c r="E2114" s="75" t="s">
        <v>1266</v>
      </c>
      <c r="F2114" s="75" t="s">
        <v>1268</v>
      </c>
      <c r="G2114" s="75" t="s">
        <v>1268</v>
      </c>
    </row>
    <row r="2115" spans="1:7" x14ac:dyDescent="0.2">
      <c r="A2115" s="40">
        <v>8701</v>
      </c>
      <c r="B2115" s="39" t="s">
        <v>208</v>
      </c>
      <c r="C2115" s="40" t="s">
        <v>2582</v>
      </c>
      <c r="D2115" s="75" t="s">
        <v>1271</v>
      </c>
      <c r="E2115" s="75" t="s">
        <v>1266</v>
      </c>
      <c r="F2115" s="75" t="s">
        <v>1267</v>
      </c>
      <c r="G2115" s="75" t="s">
        <v>1268</v>
      </c>
    </row>
    <row r="2116" spans="1:7" x14ac:dyDescent="0.2">
      <c r="A2116" s="40">
        <v>8704</v>
      </c>
      <c r="B2116" s="39" t="s">
        <v>208</v>
      </c>
      <c r="C2116" s="40" t="s">
        <v>2582</v>
      </c>
      <c r="D2116" s="75" t="s">
        <v>1271</v>
      </c>
      <c r="E2116" s="75" t="s">
        <v>1266</v>
      </c>
      <c r="F2116" s="75" t="s">
        <v>1267</v>
      </c>
      <c r="G2116" s="75" t="s">
        <v>1268</v>
      </c>
    </row>
    <row r="2117" spans="1:7" x14ac:dyDescent="0.2">
      <c r="A2117" s="40">
        <v>8707</v>
      </c>
      <c r="B2117" s="39" t="s">
        <v>208</v>
      </c>
      <c r="C2117" s="40" t="s">
        <v>2582</v>
      </c>
      <c r="D2117" s="75" t="s">
        <v>1271</v>
      </c>
      <c r="E2117" s="75" t="s">
        <v>1266</v>
      </c>
      <c r="F2117" s="75" t="s">
        <v>1267</v>
      </c>
      <c r="G2117" s="75" t="s">
        <v>1268</v>
      </c>
    </row>
    <row r="2118" spans="1:7" x14ac:dyDescent="0.2">
      <c r="A2118" s="40">
        <v>8712</v>
      </c>
      <c r="B2118" s="39" t="s">
        <v>1145</v>
      </c>
      <c r="C2118" s="40" t="s">
        <v>2582</v>
      </c>
      <c r="D2118" s="75" t="s">
        <v>1269</v>
      </c>
      <c r="E2118" s="75" t="s">
        <v>1266</v>
      </c>
      <c r="F2118" s="75" t="s">
        <v>1268</v>
      </c>
      <c r="G2118" s="75" t="s">
        <v>1268</v>
      </c>
    </row>
    <row r="2119" spans="1:7" x14ac:dyDescent="0.2">
      <c r="A2119" s="40">
        <v>8713</v>
      </c>
      <c r="B2119" s="39" t="s">
        <v>1146</v>
      </c>
      <c r="C2119" s="40" t="s">
        <v>2582</v>
      </c>
      <c r="D2119" s="75" t="s">
        <v>1269</v>
      </c>
      <c r="E2119" s="75" t="s">
        <v>1266</v>
      </c>
      <c r="F2119" s="75" t="s">
        <v>1268</v>
      </c>
      <c r="G2119" s="75" t="s">
        <v>1268</v>
      </c>
    </row>
    <row r="2120" spans="1:7" x14ac:dyDescent="0.2">
      <c r="A2120" s="40">
        <v>8714</v>
      </c>
      <c r="B2120" s="39" t="s">
        <v>1147</v>
      </c>
      <c r="C2120" s="40" t="s">
        <v>2582</v>
      </c>
      <c r="D2120" s="75" t="s">
        <v>1269</v>
      </c>
      <c r="E2120" s="75" t="s">
        <v>1266</v>
      </c>
      <c r="F2120" s="75" t="s">
        <v>1268</v>
      </c>
      <c r="G2120" s="75" t="s">
        <v>1268</v>
      </c>
    </row>
    <row r="2121" spans="1:7" x14ac:dyDescent="0.2">
      <c r="A2121" s="40">
        <v>8715</v>
      </c>
      <c r="B2121" s="39" t="s">
        <v>1148</v>
      </c>
      <c r="C2121" s="40" t="s">
        <v>2582</v>
      </c>
      <c r="D2121" s="75" t="s">
        <v>1269</v>
      </c>
      <c r="E2121" s="75" t="s">
        <v>1266</v>
      </c>
      <c r="F2121" s="75" t="s">
        <v>1268</v>
      </c>
      <c r="G2121" s="75" t="s">
        <v>1267</v>
      </c>
    </row>
    <row r="2122" spans="1:7" x14ac:dyDescent="0.2">
      <c r="A2122" s="40">
        <v>8720</v>
      </c>
      <c r="B2122" s="39" t="s">
        <v>1149</v>
      </c>
      <c r="C2122" s="40" t="s">
        <v>2582</v>
      </c>
      <c r="D2122" s="75" t="s">
        <v>1269</v>
      </c>
      <c r="E2122" s="75" t="s">
        <v>1266</v>
      </c>
      <c r="F2122" s="75" t="s">
        <v>1268</v>
      </c>
      <c r="G2122" s="75" t="s">
        <v>1268</v>
      </c>
    </row>
    <row r="2123" spans="1:7" x14ac:dyDescent="0.2">
      <c r="A2123" s="40">
        <v>8724</v>
      </c>
      <c r="B2123" s="39" t="s">
        <v>1150</v>
      </c>
      <c r="C2123" s="40" t="s">
        <v>2582</v>
      </c>
      <c r="D2123" s="75" t="s">
        <v>1269</v>
      </c>
      <c r="E2123" s="75" t="s">
        <v>1266</v>
      </c>
      <c r="F2123" s="75" t="s">
        <v>1268</v>
      </c>
      <c r="G2123" s="75" t="s">
        <v>1268</v>
      </c>
    </row>
    <row r="2124" spans="1:7" x14ac:dyDescent="0.2">
      <c r="A2124" s="40">
        <v>8731</v>
      </c>
      <c r="B2124" s="39" t="s">
        <v>1151</v>
      </c>
      <c r="C2124" s="40" t="s">
        <v>2582</v>
      </c>
      <c r="D2124" s="75" t="s">
        <v>1269</v>
      </c>
      <c r="E2124" s="75" t="s">
        <v>1266</v>
      </c>
      <c r="F2124" s="75" t="s">
        <v>1268</v>
      </c>
      <c r="G2124" s="75" t="s">
        <v>1267</v>
      </c>
    </row>
    <row r="2125" spans="1:7" x14ac:dyDescent="0.2">
      <c r="A2125" s="40">
        <v>8732</v>
      </c>
      <c r="B2125" s="39" t="s">
        <v>1152</v>
      </c>
      <c r="C2125" s="40" t="s">
        <v>2582</v>
      </c>
      <c r="D2125" s="75" t="s">
        <v>1269</v>
      </c>
      <c r="E2125" s="75" t="s">
        <v>1266</v>
      </c>
      <c r="F2125" s="75" t="s">
        <v>1268</v>
      </c>
      <c r="G2125" s="75" t="s">
        <v>1267</v>
      </c>
    </row>
    <row r="2126" spans="1:7" x14ac:dyDescent="0.2">
      <c r="A2126" s="40">
        <v>8733</v>
      </c>
      <c r="B2126" s="39" t="s">
        <v>1153</v>
      </c>
      <c r="C2126" s="40" t="s">
        <v>2582</v>
      </c>
      <c r="D2126" s="75" t="s">
        <v>1269</v>
      </c>
      <c r="E2126" s="75" t="s">
        <v>1266</v>
      </c>
      <c r="F2126" s="75" t="s">
        <v>1268</v>
      </c>
      <c r="G2126" s="75" t="s">
        <v>1267</v>
      </c>
    </row>
    <row r="2127" spans="1:7" x14ac:dyDescent="0.2">
      <c r="A2127" s="40">
        <v>8734</v>
      </c>
      <c r="B2127" s="39" t="s">
        <v>1154</v>
      </c>
      <c r="C2127" s="40" t="s">
        <v>2582</v>
      </c>
      <c r="D2127" s="75" t="s">
        <v>1269</v>
      </c>
      <c r="E2127" s="75" t="s">
        <v>1266</v>
      </c>
      <c r="F2127" s="75" t="s">
        <v>1268</v>
      </c>
      <c r="G2127" s="75" t="s">
        <v>1267</v>
      </c>
    </row>
    <row r="2128" spans="1:7" x14ac:dyDescent="0.2">
      <c r="A2128" s="40">
        <v>8740</v>
      </c>
      <c r="B2128" s="39" t="s">
        <v>1155</v>
      </c>
      <c r="C2128" s="40" t="s">
        <v>2582</v>
      </c>
      <c r="D2128" s="75" t="s">
        <v>1269</v>
      </c>
      <c r="E2128" s="75" t="s">
        <v>1266</v>
      </c>
      <c r="F2128" s="75" t="s">
        <v>1268</v>
      </c>
      <c r="G2128" s="75" t="s">
        <v>1268</v>
      </c>
    </row>
    <row r="2129" spans="1:7" x14ac:dyDescent="0.2">
      <c r="A2129" s="40">
        <v>8741</v>
      </c>
      <c r="B2129" s="39" t="s">
        <v>1156</v>
      </c>
      <c r="C2129" s="40" t="s">
        <v>2582</v>
      </c>
      <c r="D2129" s="75" t="s">
        <v>1269</v>
      </c>
      <c r="E2129" s="75" t="s">
        <v>1266</v>
      </c>
      <c r="F2129" s="75" t="s">
        <v>1268</v>
      </c>
      <c r="G2129" s="75" t="s">
        <v>1268</v>
      </c>
    </row>
    <row r="2130" spans="1:7" x14ac:dyDescent="0.2">
      <c r="A2130" s="40">
        <v>8742</v>
      </c>
      <c r="B2130" s="39" t="s">
        <v>1157</v>
      </c>
      <c r="C2130" s="40" t="s">
        <v>2582</v>
      </c>
      <c r="D2130" s="75" t="s">
        <v>1269</v>
      </c>
      <c r="E2130" s="75" t="s">
        <v>1266</v>
      </c>
      <c r="F2130" s="75" t="s">
        <v>1268</v>
      </c>
      <c r="G2130" s="75" t="s">
        <v>1268</v>
      </c>
    </row>
    <row r="2131" spans="1:7" x14ac:dyDescent="0.2">
      <c r="A2131" s="40">
        <v>8750</v>
      </c>
      <c r="B2131" s="39" t="s">
        <v>1158</v>
      </c>
      <c r="C2131" s="40" t="s">
        <v>2582</v>
      </c>
      <c r="D2131" s="75" t="s">
        <v>1269</v>
      </c>
      <c r="E2131" s="75" t="s">
        <v>1266</v>
      </c>
      <c r="F2131" s="75" t="s">
        <v>1268</v>
      </c>
      <c r="G2131" s="75" t="s">
        <v>1268</v>
      </c>
    </row>
    <row r="2132" spans="1:7" x14ac:dyDescent="0.2">
      <c r="A2132" s="40">
        <v>8752</v>
      </c>
      <c r="B2132" s="39" t="s">
        <v>1159</v>
      </c>
      <c r="C2132" s="40" t="s">
        <v>2582</v>
      </c>
      <c r="D2132" s="75" t="s">
        <v>1271</v>
      </c>
      <c r="E2132" s="75" t="s">
        <v>1266</v>
      </c>
      <c r="F2132" s="75" t="s">
        <v>1267</v>
      </c>
      <c r="G2132" s="75" t="s">
        <v>1268</v>
      </c>
    </row>
    <row r="2133" spans="1:7" x14ac:dyDescent="0.2">
      <c r="A2133" s="40">
        <v>8753</v>
      </c>
      <c r="B2133" s="39" t="s">
        <v>1160</v>
      </c>
      <c r="C2133" s="40" t="s">
        <v>2582</v>
      </c>
      <c r="D2133" s="75" t="s">
        <v>1269</v>
      </c>
      <c r="E2133" s="75" t="s">
        <v>1266</v>
      </c>
      <c r="F2133" s="75" t="s">
        <v>1268</v>
      </c>
      <c r="G2133" s="75" t="s">
        <v>1268</v>
      </c>
    </row>
    <row r="2134" spans="1:7" x14ac:dyDescent="0.2">
      <c r="A2134" s="40">
        <v>8754</v>
      </c>
      <c r="B2134" s="39" t="s">
        <v>1161</v>
      </c>
      <c r="C2134" s="40" t="s">
        <v>2582</v>
      </c>
      <c r="D2134" s="75" t="s">
        <v>1269</v>
      </c>
      <c r="E2134" s="75" t="s">
        <v>1266</v>
      </c>
      <c r="F2134" s="75" t="s">
        <v>1268</v>
      </c>
      <c r="G2134" s="75" t="s">
        <v>1267</v>
      </c>
    </row>
    <row r="2135" spans="1:7" x14ac:dyDescent="0.2">
      <c r="A2135" s="40">
        <v>8755</v>
      </c>
      <c r="B2135" s="39" t="s">
        <v>1162</v>
      </c>
      <c r="C2135" s="40" t="s">
        <v>2582</v>
      </c>
      <c r="D2135" s="75" t="s">
        <v>1269</v>
      </c>
      <c r="E2135" s="75" t="s">
        <v>1266</v>
      </c>
      <c r="F2135" s="75" t="s">
        <v>1268</v>
      </c>
      <c r="G2135" s="75" t="s">
        <v>1267</v>
      </c>
    </row>
    <row r="2136" spans="1:7" x14ac:dyDescent="0.2">
      <c r="A2136" s="40">
        <v>8756</v>
      </c>
      <c r="B2136" s="39" t="s">
        <v>1163</v>
      </c>
      <c r="C2136" s="40" t="s">
        <v>2582</v>
      </c>
      <c r="D2136" s="75" t="s">
        <v>1269</v>
      </c>
      <c r="E2136" s="75" t="s">
        <v>1266</v>
      </c>
      <c r="F2136" s="75" t="s">
        <v>1268</v>
      </c>
      <c r="G2136" s="75" t="s">
        <v>1267</v>
      </c>
    </row>
    <row r="2137" spans="1:7" x14ac:dyDescent="0.2">
      <c r="A2137" s="40">
        <v>8761</v>
      </c>
      <c r="B2137" s="39" t="s">
        <v>1164</v>
      </c>
      <c r="C2137" s="40" t="s">
        <v>2582</v>
      </c>
      <c r="D2137" s="75" t="s">
        <v>1269</v>
      </c>
      <c r="E2137" s="75" t="s">
        <v>1266</v>
      </c>
      <c r="F2137" s="75" t="s">
        <v>1268</v>
      </c>
      <c r="G2137" s="75" t="s">
        <v>1268</v>
      </c>
    </row>
    <row r="2138" spans="1:7" x14ac:dyDescent="0.2">
      <c r="A2138" s="40">
        <v>8762</v>
      </c>
      <c r="B2138" s="39" t="s">
        <v>1165</v>
      </c>
      <c r="C2138" s="40" t="s">
        <v>2582</v>
      </c>
      <c r="D2138" s="75" t="s">
        <v>1269</v>
      </c>
      <c r="E2138" s="75" t="s">
        <v>1266</v>
      </c>
      <c r="F2138" s="75" t="s">
        <v>1268</v>
      </c>
      <c r="G2138" s="75" t="s">
        <v>1268</v>
      </c>
    </row>
    <row r="2139" spans="1:7" x14ac:dyDescent="0.2">
      <c r="A2139" s="40">
        <v>8763</v>
      </c>
      <c r="B2139" s="39" t="s">
        <v>1166</v>
      </c>
      <c r="C2139" s="40" t="s">
        <v>2582</v>
      </c>
      <c r="D2139" s="75" t="s">
        <v>1269</v>
      </c>
      <c r="E2139" s="75" t="s">
        <v>1266</v>
      </c>
      <c r="F2139" s="75" t="s">
        <v>1268</v>
      </c>
      <c r="G2139" s="75" t="s">
        <v>1268</v>
      </c>
    </row>
    <row r="2140" spans="1:7" x14ac:dyDescent="0.2">
      <c r="A2140" s="40">
        <v>8764</v>
      </c>
      <c r="B2140" s="39" t="s">
        <v>1167</v>
      </c>
      <c r="C2140" s="40" t="s">
        <v>2582</v>
      </c>
      <c r="D2140" s="75" t="s">
        <v>1269</v>
      </c>
      <c r="E2140" s="75" t="s">
        <v>1266</v>
      </c>
      <c r="F2140" s="75" t="s">
        <v>1268</v>
      </c>
      <c r="G2140" s="75" t="s">
        <v>1267</v>
      </c>
    </row>
    <row r="2141" spans="1:7" x14ac:dyDescent="0.2">
      <c r="A2141" s="40">
        <v>8765</v>
      </c>
      <c r="B2141" s="39" t="s">
        <v>1168</v>
      </c>
      <c r="C2141" s="40" t="s">
        <v>2582</v>
      </c>
      <c r="D2141" s="75" t="s">
        <v>1269</v>
      </c>
      <c r="E2141" s="75" t="s">
        <v>1266</v>
      </c>
      <c r="F2141" s="75" t="s">
        <v>1268</v>
      </c>
      <c r="G2141" s="75" t="s">
        <v>1267</v>
      </c>
    </row>
    <row r="2142" spans="1:7" x14ac:dyDescent="0.2">
      <c r="A2142" s="40">
        <v>8770</v>
      </c>
      <c r="B2142" s="39" t="s">
        <v>1169</v>
      </c>
      <c r="C2142" s="40" t="s">
        <v>2582</v>
      </c>
      <c r="D2142" s="75" t="s">
        <v>1269</v>
      </c>
      <c r="E2142" s="75" t="s">
        <v>1266</v>
      </c>
      <c r="F2142" s="75" t="s">
        <v>1268</v>
      </c>
      <c r="G2142" s="75" t="s">
        <v>1268</v>
      </c>
    </row>
    <row r="2143" spans="1:7" x14ac:dyDescent="0.2">
      <c r="A2143" s="40">
        <v>8772</v>
      </c>
      <c r="B2143" s="39" t="s">
        <v>1170</v>
      </c>
      <c r="C2143" s="40" t="s">
        <v>2582</v>
      </c>
      <c r="D2143" s="75" t="s">
        <v>1269</v>
      </c>
      <c r="E2143" s="75" t="s">
        <v>1266</v>
      </c>
      <c r="F2143" s="75" t="s">
        <v>1268</v>
      </c>
      <c r="G2143" s="75" t="s">
        <v>1267</v>
      </c>
    </row>
    <row r="2144" spans="1:7" x14ac:dyDescent="0.2">
      <c r="A2144" s="40">
        <v>8773</v>
      </c>
      <c r="B2144" s="39" t="s">
        <v>1171</v>
      </c>
      <c r="C2144" s="40" t="s">
        <v>2582</v>
      </c>
      <c r="D2144" s="75" t="s">
        <v>1269</v>
      </c>
      <c r="E2144" s="75" t="s">
        <v>1266</v>
      </c>
      <c r="F2144" s="75" t="s">
        <v>1268</v>
      </c>
      <c r="G2144" s="75" t="s">
        <v>1268</v>
      </c>
    </row>
    <row r="2145" spans="1:7" x14ac:dyDescent="0.2">
      <c r="A2145" s="40">
        <v>8774</v>
      </c>
      <c r="B2145" s="39" t="s">
        <v>1172</v>
      </c>
      <c r="C2145" s="40" t="s">
        <v>2582</v>
      </c>
      <c r="D2145" s="75" t="s">
        <v>1269</v>
      </c>
      <c r="E2145" s="75" t="s">
        <v>1266</v>
      </c>
      <c r="F2145" s="75" t="s">
        <v>1268</v>
      </c>
      <c r="G2145" s="75" t="s">
        <v>1267</v>
      </c>
    </row>
    <row r="2146" spans="1:7" x14ac:dyDescent="0.2">
      <c r="A2146" s="40">
        <v>8775</v>
      </c>
      <c r="B2146" s="39" t="s">
        <v>1173</v>
      </c>
      <c r="C2146" s="40" t="s">
        <v>2582</v>
      </c>
      <c r="D2146" s="75" t="s">
        <v>1269</v>
      </c>
      <c r="E2146" s="75" t="s">
        <v>1266</v>
      </c>
      <c r="F2146" s="75" t="s">
        <v>1268</v>
      </c>
      <c r="G2146" s="75" t="s">
        <v>1268</v>
      </c>
    </row>
    <row r="2147" spans="1:7" x14ac:dyDescent="0.2">
      <c r="A2147" s="40">
        <v>8781</v>
      </c>
      <c r="B2147" s="39" t="s">
        <v>1174</v>
      </c>
      <c r="C2147" s="40" t="s">
        <v>2582</v>
      </c>
      <c r="D2147" s="75" t="s">
        <v>1269</v>
      </c>
      <c r="E2147" s="75" t="s">
        <v>1266</v>
      </c>
      <c r="F2147" s="75" t="s">
        <v>1268</v>
      </c>
      <c r="G2147" s="75" t="s">
        <v>1267</v>
      </c>
    </row>
    <row r="2148" spans="1:7" x14ac:dyDescent="0.2">
      <c r="A2148" s="40">
        <v>8782</v>
      </c>
      <c r="B2148" s="39" t="s">
        <v>1175</v>
      </c>
      <c r="C2148" s="40" t="s">
        <v>2582</v>
      </c>
      <c r="D2148" s="75" t="s">
        <v>1269</v>
      </c>
      <c r="E2148" s="75" t="s">
        <v>1266</v>
      </c>
      <c r="F2148" s="75" t="s">
        <v>1268</v>
      </c>
      <c r="G2148" s="75" t="s">
        <v>1267</v>
      </c>
    </row>
    <row r="2149" spans="1:7" x14ac:dyDescent="0.2">
      <c r="A2149" s="40">
        <v>8783</v>
      </c>
      <c r="B2149" s="39" t="s">
        <v>1176</v>
      </c>
      <c r="C2149" s="40" t="s">
        <v>2582</v>
      </c>
      <c r="D2149" s="75" t="s">
        <v>1269</v>
      </c>
      <c r="E2149" s="75" t="s">
        <v>1266</v>
      </c>
      <c r="F2149" s="75" t="s">
        <v>1268</v>
      </c>
      <c r="G2149" s="75" t="s">
        <v>1267</v>
      </c>
    </row>
    <row r="2150" spans="1:7" x14ac:dyDescent="0.2">
      <c r="A2150" s="40">
        <v>8784</v>
      </c>
      <c r="B2150" s="39" t="s">
        <v>1177</v>
      </c>
      <c r="C2150" s="40" t="s">
        <v>2582</v>
      </c>
      <c r="D2150" s="75" t="s">
        <v>1269</v>
      </c>
      <c r="E2150" s="75" t="s">
        <v>1266</v>
      </c>
      <c r="F2150" s="75" t="s">
        <v>1268</v>
      </c>
      <c r="G2150" s="75" t="s">
        <v>1268</v>
      </c>
    </row>
    <row r="2151" spans="1:7" x14ac:dyDescent="0.2">
      <c r="A2151" s="40">
        <v>8785</v>
      </c>
      <c r="B2151" s="39" t="s">
        <v>1178</v>
      </c>
      <c r="C2151" s="40" t="s">
        <v>2582</v>
      </c>
      <c r="D2151" s="75" t="s">
        <v>1269</v>
      </c>
      <c r="E2151" s="75" t="s">
        <v>1266</v>
      </c>
      <c r="F2151" s="75" t="s">
        <v>1268</v>
      </c>
      <c r="G2151" s="75" t="s">
        <v>1267</v>
      </c>
    </row>
    <row r="2152" spans="1:7" x14ac:dyDescent="0.2">
      <c r="A2152" s="40">
        <v>8786</v>
      </c>
      <c r="B2152" s="39" t="s">
        <v>1179</v>
      </c>
      <c r="C2152" s="40" t="s">
        <v>2582</v>
      </c>
      <c r="D2152" s="75" t="s">
        <v>1269</v>
      </c>
      <c r="E2152" s="75" t="s">
        <v>1266</v>
      </c>
      <c r="F2152" s="75" t="s">
        <v>1268</v>
      </c>
      <c r="G2152" s="75" t="s">
        <v>1268</v>
      </c>
    </row>
    <row r="2153" spans="1:7" x14ac:dyDescent="0.2">
      <c r="A2153" s="40">
        <v>8790</v>
      </c>
      <c r="B2153" s="39" t="s">
        <v>143</v>
      </c>
      <c r="C2153" s="40" t="s">
        <v>2582</v>
      </c>
      <c r="D2153" s="75" t="s">
        <v>1269</v>
      </c>
      <c r="E2153" s="75" t="s">
        <v>1266</v>
      </c>
      <c r="F2153" s="75" t="s">
        <v>1268</v>
      </c>
      <c r="G2153" s="75" t="s">
        <v>1268</v>
      </c>
    </row>
    <row r="2154" spans="1:7" x14ac:dyDescent="0.2">
      <c r="A2154" s="40">
        <v>8792</v>
      </c>
      <c r="B2154" s="39" t="s">
        <v>1180</v>
      </c>
      <c r="C2154" s="40" t="s">
        <v>2582</v>
      </c>
      <c r="D2154" s="75" t="s">
        <v>1269</v>
      </c>
      <c r="E2154" s="75" t="s">
        <v>1266</v>
      </c>
      <c r="F2154" s="75" t="s">
        <v>1268</v>
      </c>
      <c r="G2154" s="75" t="s">
        <v>1267</v>
      </c>
    </row>
    <row r="2155" spans="1:7" x14ac:dyDescent="0.2">
      <c r="A2155" s="40">
        <v>8793</v>
      </c>
      <c r="B2155" s="39" t="s">
        <v>1181</v>
      </c>
      <c r="C2155" s="40" t="s">
        <v>2582</v>
      </c>
      <c r="D2155" s="75" t="s">
        <v>1269</v>
      </c>
      <c r="E2155" s="75" t="s">
        <v>1266</v>
      </c>
      <c r="F2155" s="75" t="s">
        <v>1268</v>
      </c>
      <c r="G2155" s="75" t="s">
        <v>1268</v>
      </c>
    </row>
    <row r="2156" spans="1:7" x14ac:dyDescent="0.2">
      <c r="A2156" s="40">
        <v>8794</v>
      </c>
      <c r="B2156" s="39" t="s">
        <v>1182</v>
      </c>
      <c r="C2156" s="40" t="s">
        <v>2582</v>
      </c>
      <c r="D2156" s="75" t="s">
        <v>1269</v>
      </c>
      <c r="E2156" s="75" t="s">
        <v>1266</v>
      </c>
      <c r="F2156" s="75" t="s">
        <v>1268</v>
      </c>
      <c r="G2156" s="75" t="s">
        <v>1267</v>
      </c>
    </row>
    <row r="2157" spans="1:7" x14ac:dyDescent="0.2">
      <c r="A2157" s="40">
        <v>8795</v>
      </c>
      <c r="B2157" s="39" t="s">
        <v>1183</v>
      </c>
      <c r="C2157" s="40" t="s">
        <v>2582</v>
      </c>
      <c r="D2157" s="75" t="s">
        <v>1269</v>
      </c>
      <c r="E2157" s="75" t="s">
        <v>1266</v>
      </c>
      <c r="F2157" s="75" t="s">
        <v>1268</v>
      </c>
      <c r="G2157" s="75" t="s">
        <v>1267</v>
      </c>
    </row>
    <row r="2158" spans="1:7" x14ac:dyDescent="0.2">
      <c r="A2158" s="40">
        <v>8800</v>
      </c>
      <c r="B2158" s="39" t="s">
        <v>1184</v>
      </c>
      <c r="C2158" s="40" t="s">
        <v>2582</v>
      </c>
      <c r="D2158" s="75" t="s">
        <v>1269</v>
      </c>
      <c r="E2158" s="75" t="s">
        <v>1266</v>
      </c>
      <c r="F2158" s="75" t="s">
        <v>1268</v>
      </c>
      <c r="G2158" s="75" t="s">
        <v>1268</v>
      </c>
    </row>
    <row r="2159" spans="1:7" x14ac:dyDescent="0.2">
      <c r="A2159" s="40">
        <v>8811</v>
      </c>
      <c r="B2159" s="39" t="s">
        <v>1185</v>
      </c>
      <c r="C2159" s="40" t="s">
        <v>2582</v>
      </c>
      <c r="D2159" s="75" t="s">
        <v>1269</v>
      </c>
      <c r="E2159" s="75" t="s">
        <v>1266</v>
      </c>
      <c r="F2159" s="75" t="s">
        <v>1268</v>
      </c>
      <c r="G2159" s="75" t="s">
        <v>1268</v>
      </c>
    </row>
    <row r="2160" spans="1:7" x14ac:dyDescent="0.2">
      <c r="A2160" s="40">
        <v>8812</v>
      </c>
      <c r="B2160" s="39" t="s">
        <v>1186</v>
      </c>
      <c r="C2160" s="40" t="s">
        <v>2582</v>
      </c>
      <c r="D2160" s="75" t="s">
        <v>1269</v>
      </c>
      <c r="E2160" s="75" t="s">
        <v>1266</v>
      </c>
      <c r="F2160" s="75" t="s">
        <v>1268</v>
      </c>
      <c r="G2160" s="75" t="s">
        <v>1267</v>
      </c>
    </row>
    <row r="2161" spans="1:7" x14ac:dyDescent="0.2">
      <c r="A2161" s="40">
        <v>8813</v>
      </c>
      <c r="B2161" s="39" t="s">
        <v>1187</v>
      </c>
      <c r="C2161" s="40" t="s">
        <v>2582</v>
      </c>
      <c r="D2161" s="75" t="s">
        <v>1269</v>
      </c>
      <c r="E2161" s="75" t="s">
        <v>1266</v>
      </c>
      <c r="F2161" s="75" t="s">
        <v>1268</v>
      </c>
      <c r="G2161" s="75" t="s">
        <v>1267</v>
      </c>
    </row>
    <row r="2162" spans="1:7" x14ac:dyDescent="0.2">
      <c r="A2162" s="40">
        <v>8820</v>
      </c>
      <c r="B2162" s="39" t="s">
        <v>1188</v>
      </c>
      <c r="C2162" s="40" t="s">
        <v>2582</v>
      </c>
      <c r="D2162" s="75" t="s">
        <v>1269</v>
      </c>
      <c r="E2162" s="75" t="s">
        <v>1266</v>
      </c>
      <c r="F2162" s="75" t="s">
        <v>1268</v>
      </c>
      <c r="G2162" s="75" t="s">
        <v>1268</v>
      </c>
    </row>
    <row r="2163" spans="1:7" x14ac:dyDescent="0.2">
      <c r="A2163" s="40">
        <v>8822</v>
      </c>
      <c r="B2163" s="39" t="s">
        <v>1189</v>
      </c>
      <c r="C2163" s="40" t="s">
        <v>2582</v>
      </c>
      <c r="D2163" s="75" t="s">
        <v>1269</v>
      </c>
      <c r="E2163" s="75" t="s">
        <v>1266</v>
      </c>
      <c r="F2163" s="75" t="s">
        <v>1268</v>
      </c>
      <c r="G2163" s="75" t="s">
        <v>1267</v>
      </c>
    </row>
    <row r="2164" spans="1:7" x14ac:dyDescent="0.2">
      <c r="A2164" s="40">
        <v>8831</v>
      </c>
      <c r="B2164" s="39" t="s">
        <v>1190</v>
      </c>
      <c r="C2164" s="40" t="s">
        <v>2582</v>
      </c>
      <c r="D2164" s="75" t="s">
        <v>1269</v>
      </c>
      <c r="E2164" s="75" t="s">
        <v>1266</v>
      </c>
      <c r="F2164" s="75" t="s">
        <v>1268</v>
      </c>
      <c r="G2164" s="75" t="s">
        <v>1267</v>
      </c>
    </row>
    <row r="2165" spans="1:7" x14ac:dyDescent="0.2">
      <c r="A2165" s="40">
        <v>8832</v>
      </c>
      <c r="B2165" s="39" t="s">
        <v>1191</v>
      </c>
      <c r="C2165" s="40" t="s">
        <v>2582</v>
      </c>
      <c r="D2165" s="75" t="s">
        <v>1269</v>
      </c>
      <c r="E2165" s="75" t="s">
        <v>1266</v>
      </c>
      <c r="F2165" s="75" t="s">
        <v>1268</v>
      </c>
      <c r="G2165" s="75" t="s">
        <v>1268</v>
      </c>
    </row>
    <row r="2166" spans="1:7" x14ac:dyDescent="0.2">
      <c r="A2166" s="40">
        <v>8833</v>
      </c>
      <c r="B2166" s="39" t="s">
        <v>1192</v>
      </c>
      <c r="C2166" s="40" t="s">
        <v>2582</v>
      </c>
      <c r="D2166" s="75" t="s">
        <v>1269</v>
      </c>
      <c r="E2166" s="75" t="s">
        <v>1266</v>
      </c>
      <c r="F2166" s="75" t="s">
        <v>1268</v>
      </c>
      <c r="G2166" s="75" t="s">
        <v>1267</v>
      </c>
    </row>
    <row r="2167" spans="1:7" x14ac:dyDescent="0.2">
      <c r="A2167" s="40">
        <v>8841</v>
      </c>
      <c r="B2167" s="39" t="s">
        <v>1193</v>
      </c>
      <c r="C2167" s="40" t="s">
        <v>2582</v>
      </c>
      <c r="D2167" s="75" t="s">
        <v>1269</v>
      </c>
      <c r="E2167" s="75" t="s">
        <v>1266</v>
      </c>
      <c r="F2167" s="75" t="s">
        <v>1268</v>
      </c>
      <c r="G2167" s="75" t="s">
        <v>1267</v>
      </c>
    </row>
    <row r="2168" spans="1:7" x14ac:dyDescent="0.2">
      <c r="A2168" s="40">
        <v>8842</v>
      </c>
      <c r="B2168" s="39" t="s">
        <v>1194</v>
      </c>
      <c r="C2168" s="40" t="s">
        <v>2582</v>
      </c>
      <c r="D2168" s="75" t="s">
        <v>1269</v>
      </c>
      <c r="E2168" s="75" t="s">
        <v>1266</v>
      </c>
      <c r="F2168" s="75" t="s">
        <v>1268</v>
      </c>
      <c r="G2168" s="75" t="s">
        <v>1268</v>
      </c>
    </row>
    <row r="2169" spans="1:7" x14ac:dyDescent="0.2">
      <c r="A2169" s="40">
        <v>8843</v>
      </c>
      <c r="B2169" s="39" t="s">
        <v>1195</v>
      </c>
      <c r="C2169" s="40" t="s">
        <v>2582</v>
      </c>
      <c r="D2169" s="75" t="s">
        <v>1269</v>
      </c>
      <c r="E2169" s="75" t="s">
        <v>1266</v>
      </c>
      <c r="F2169" s="75" t="s">
        <v>1268</v>
      </c>
      <c r="G2169" s="75" t="s">
        <v>1267</v>
      </c>
    </row>
    <row r="2170" spans="1:7" x14ac:dyDescent="0.2">
      <c r="A2170" s="40">
        <v>8844</v>
      </c>
      <c r="B2170" s="39" t="s">
        <v>1428</v>
      </c>
      <c r="C2170" s="40" t="s">
        <v>2582</v>
      </c>
      <c r="D2170" s="75" t="s">
        <v>1269</v>
      </c>
      <c r="E2170" s="75" t="s">
        <v>1266</v>
      </c>
      <c r="F2170" s="75" t="s">
        <v>1268</v>
      </c>
      <c r="G2170" s="75" t="s">
        <v>1267</v>
      </c>
    </row>
    <row r="2171" spans="1:7" x14ac:dyDescent="0.2">
      <c r="A2171" s="40">
        <v>8850</v>
      </c>
      <c r="B2171" s="39" t="s">
        <v>1429</v>
      </c>
      <c r="C2171" s="40" t="s">
        <v>2582</v>
      </c>
      <c r="D2171" s="75" t="s">
        <v>1269</v>
      </c>
      <c r="E2171" s="75" t="s">
        <v>1266</v>
      </c>
      <c r="F2171" s="75" t="s">
        <v>1268</v>
      </c>
      <c r="G2171" s="75" t="s">
        <v>1268</v>
      </c>
    </row>
    <row r="2172" spans="1:7" x14ac:dyDescent="0.2">
      <c r="A2172" s="40">
        <v>8852</v>
      </c>
      <c r="B2172" s="39" t="s">
        <v>1430</v>
      </c>
      <c r="C2172" s="40" t="s">
        <v>2582</v>
      </c>
      <c r="D2172" s="75" t="s">
        <v>1269</v>
      </c>
      <c r="E2172" s="75" t="s">
        <v>1266</v>
      </c>
      <c r="F2172" s="75" t="s">
        <v>1268</v>
      </c>
      <c r="G2172" s="75" t="s">
        <v>1267</v>
      </c>
    </row>
    <row r="2173" spans="1:7" x14ac:dyDescent="0.2">
      <c r="A2173" s="40">
        <v>8853</v>
      </c>
      <c r="B2173" s="39" t="s">
        <v>1431</v>
      </c>
      <c r="C2173" s="40" t="s">
        <v>2582</v>
      </c>
      <c r="D2173" s="75" t="s">
        <v>1269</v>
      </c>
      <c r="E2173" s="75" t="s">
        <v>1266</v>
      </c>
      <c r="F2173" s="75" t="s">
        <v>1268</v>
      </c>
      <c r="G2173" s="75" t="s">
        <v>1267</v>
      </c>
    </row>
    <row r="2174" spans="1:7" x14ac:dyDescent="0.2">
      <c r="A2174" s="40">
        <v>8854</v>
      </c>
      <c r="B2174" s="39" t="s">
        <v>1432</v>
      </c>
      <c r="C2174" s="40" t="s">
        <v>2582</v>
      </c>
      <c r="D2174" s="75" t="s">
        <v>1269</v>
      </c>
      <c r="E2174" s="75" t="s">
        <v>1266</v>
      </c>
      <c r="F2174" s="75" t="s">
        <v>1268</v>
      </c>
      <c r="G2174" s="75" t="s">
        <v>1267</v>
      </c>
    </row>
    <row r="2175" spans="1:7" x14ac:dyDescent="0.2">
      <c r="A2175" s="40">
        <v>8861</v>
      </c>
      <c r="B2175" s="39" t="s">
        <v>1433</v>
      </c>
      <c r="C2175" s="40" t="s">
        <v>2582</v>
      </c>
      <c r="D2175" s="75" t="s">
        <v>1269</v>
      </c>
      <c r="E2175" s="75" t="s">
        <v>1266</v>
      </c>
      <c r="F2175" s="75" t="s">
        <v>1268</v>
      </c>
      <c r="G2175" s="75" t="s">
        <v>1267</v>
      </c>
    </row>
    <row r="2176" spans="1:7" x14ac:dyDescent="0.2">
      <c r="A2176" s="40">
        <v>8862</v>
      </c>
      <c r="B2176" s="39" t="s">
        <v>1434</v>
      </c>
      <c r="C2176" s="40" t="s">
        <v>2582</v>
      </c>
      <c r="D2176" s="75" t="s">
        <v>1269</v>
      </c>
      <c r="E2176" s="75" t="s">
        <v>1266</v>
      </c>
      <c r="F2176" s="75" t="s">
        <v>1268</v>
      </c>
      <c r="G2176" s="75" t="s">
        <v>1268</v>
      </c>
    </row>
    <row r="2177" spans="1:7" x14ac:dyDescent="0.2">
      <c r="A2177" s="40">
        <v>8863</v>
      </c>
      <c r="B2177" s="39" t="s">
        <v>1435</v>
      </c>
      <c r="C2177" s="40" t="s">
        <v>2582</v>
      </c>
      <c r="D2177" s="75" t="s">
        <v>1269</v>
      </c>
      <c r="E2177" s="75" t="s">
        <v>1266</v>
      </c>
      <c r="F2177" s="75" t="s">
        <v>1268</v>
      </c>
      <c r="G2177" s="75" t="s">
        <v>1267</v>
      </c>
    </row>
    <row r="2178" spans="1:7" x14ac:dyDescent="0.2">
      <c r="A2178" s="40">
        <v>8864</v>
      </c>
      <c r="B2178" s="39" t="s">
        <v>1436</v>
      </c>
      <c r="C2178" s="40" t="s">
        <v>2582</v>
      </c>
      <c r="D2178" s="75" t="s">
        <v>1269</v>
      </c>
      <c r="E2178" s="75" t="s">
        <v>1266</v>
      </c>
      <c r="F2178" s="75" t="s">
        <v>1268</v>
      </c>
      <c r="G2178" s="75" t="s">
        <v>1267</v>
      </c>
    </row>
    <row r="2179" spans="1:7" x14ac:dyDescent="0.2">
      <c r="A2179" s="40">
        <v>8900</v>
      </c>
      <c r="B2179" s="39" t="s">
        <v>1437</v>
      </c>
      <c r="C2179" s="40" t="s">
        <v>2582</v>
      </c>
      <c r="D2179" s="75" t="s">
        <v>1269</v>
      </c>
      <c r="E2179" s="75" t="s">
        <v>1266</v>
      </c>
      <c r="F2179" s="75" t="s">
        <v>1268</v>
      </c>
      <c r="G2179" s="75" t="s">
        <v>1267</v>
      </c>
    </row>
    <row r="2180" spans="1:7" x14ac:dyDescent="0.2">
      <c r="A2180" s="40">
        <v>8903</v>
      </c>
      <c r="B2180" s="39" t="s">
        <v>1438</v>
      </c>
      <c r="C2180" s="40" t="s">
        <v>2582</v>
      </c>
      <c r="D2180" s="75" t="s">
        <v>1269</v>
      </c>
      <c r="E2180" s="75" t="s">
        <v>1266</v>
      </c>
      <c r="F2180" s="75" t="s">
        <v>1268</v>
      </c>
      <c r="G2180" s="75" t="s">
        <v>1267</v>
      </c>
    </row>
    <row r="2181" spans="1:7" x14ac:dyDescent="0.2">
      <c r="A2181" s="40">
        <v>8904</v>
      </c>
      <c r="B2181" s="39" t="s">
        <v>1439</v>
      </c>
      <c r="C2181" s="40" t="s">
        <v>2582</v>
      </c>
      <c r="D2181" s="75" t="s">
        <v>1269</v>
      </c>
      <c r="E2181" s="75" t="s">
        <v>1266</v>
      </c>
      <c r="F2181" s="75" t="s">
        <v>1268</v>
      </c>
      <c r="G2181" s="75" t="s">
        <v>1267</v>
      </c>
    </row>
    <row r="2182" spans="1:7" x14ac:dyDescent="0.2">
      <c r="A2182" s="40">
        <v>8911</v>
      </c>
      <c r="B2182" s="39" t="s">
        <v>112</v>
      </c>
      <c r="C2182" s="40" t="s">
        <v>2582</v>
      </c>
      <c r="D2182" s="75" t="s">
        <v>1269</v>
      </c>
      <c r="E2182" s="75" t="s">
        <v>1266</v>
      </c>
      <c r="F2182" s="75" t="s">
        <v>1268</v>
      </c>
      <c r="G2182" s="75" t="s">
        <v>1268</v>
      </c>
    </row>
    <row r="2183" spans="1:7" x14ac:dyDescent="0.2">
      <c r="A2183" s="40">
        <v>8912</v>
      </c>
      <c r="B2183" s="39" t="s">
        <v>1440</v>
      </c>
      <c r="C2183" s="40" t="s">
        <v>2582</v>
      </c>
      <c r="D2183" s="75" t="s">
        <v>1269</v>
      </c>
      <c r="E2183" s="75" t="s">
        <v>1266</v>
      </c>
      <c r="F2183" s="75" t="s">
        <v>1268</v>
      </c>
      <c r="G2183" s="75" t="s">
        <v>1267</v>
      </c>
    </row>
    <row r="2184" spans="1:7" x14ac:dyDescent="0.2">
      <c r="A2184" s="40">
        <v>8913</v>
      </c>
      <c r="B2184" s="39" t="s">
        <v>1441</v>
      </c>
      <c r="C2184" s="40" t="s">
        <v>2582</v>
      </c>
      <c r="D2184" s="75" t="s">
        <v>1269</v>
      </c>
      <c r="E2184" s="75" t="s">
        <v>1266</v>
      </c>
      <c r="F2184" s="75" t="s">
        <v>1268</v>
      </c>
      <c r="G2184" s="75" t="s">
        <v>1267</v>
      </c>
    </row>
    <row r="2185" spans="1:7" x14ac:dyDescent="0.2">
      <c r="A2185" s="40">
        <v>8920</v>
      </c>
      <c r="B2185" s="39" t="s">
        <v>1442</v>
      </c>
      <c r="C2185" s="40" t="s">
        <v>2582</v>
      </c>
      <c r="D2185" s="75" t="s">
        <v>1269</v>
      </c>
      <c r="E2185" s="75" t="s">
        <v>1266</v>
      </c>
      <c r="F2185" s="75" t="s">
        <v>1268</v>
      </c>
      <c r="G2185" s="75" t="s">
        <v>1268</v>
      </c>
    </row>
    <row r="2186" spans="1:7" x14ac:dyDescent="0.2">
      <c r="A2186" s="40">
        <v>8921</v>
      </c>
      <c r="B2186" s="39" t="s">
        <v>1443</v>
      </c>
      <c r="C2186" s="40" t="s">
        <v>2582</v>
      </c>
      <c r="D2186" s="75" t="s">
        <v>1269</v>
      </c>
      <c r="E2186" s="75" t="s">
        <v>1266</v>
      </c>
      <c r="F2186" s="75" t="s">
        <v>1268</v>
      </c>
      <c r="G2186" s="75" t="s">
        <v>1267</v>
      </c>
    </row>
    <row r="2187" spans="1:7" x14ac:dyDescent="0.2">
      <c r="A2187" s="40">
        <v>8922</v>
      </c>
      <c r="B2187" s="39" t="s">
        <v>1444</v>
      </c>
      <c r="C2187" s="40" t="s">
        <v>2582</v>
      </c>
      <c r="D2187" s="75" t="s">
        <v>1269</v>
      </c>
      <c r="E2187" s="75" t="s">
        <v>1266</v>
      </c>
      <c r="F2187" s="75" t="s">
        <v>1268</v>
      </c>
      <c r="G2187" s="75" t="s">
        <v>1267</v>
      </c>
    </row>
    <row r="2188" spans="1:7" x14ac:dyDescent="0.2">
      <c r="A2188" s="40">
        <v>8923</v>
      </c>
      <c r="B2188" s="39" t="s">
        <v>1445</v>
      </c>
      <c r="C2188" s="40" t="s">
        <v>2582</v>
      </c>
      <c r="D2188" s="75" t="s">
        <v>1269</v>
      </c>
      <c r="E2188" s="75" t="s">
        <v>1266</v>
      </c>
      <c r="F2188" s="75" t="s">
        <v>1268</v>
      </c>
      <c r="G2188" s="75" t="s">
        <v>1267</v>
      </c>
    </row>
    <row r="2189" spans="1:7" x14ac:dyDescent="0.2">
      <c r="A2189" s="40">
        <v>8924</v>
      </c>
      <c r="B2189" s="39" t="s">
        <v>1446</v>
      </c>
      <c r="C2189" s="40" t="s">
        <v>2582</v>
      </c>
      <c r="D2189" s="75" t="s">
        <v>1269</v>
      </c>
      <c r="E2189" s="75" t="s">
        <v>1266</v>
      </c>
      <c r="F2189" s="75" t="s">
        <v>1268</v>
      </c>
      <c r="G2189" s="75" t="s">
        <v>1267</v>
      </c>
    </row>
    <row r="2190" spans="1:7" x14ac:dyDescent="0.2">
      <c r="A2190" s="40">
        <v>8931</v>
      </c>
      <c r="B2190" s="39" t="s">
        <v>1447</v>
      </c>
      <c r="C2190" s="40" t="s">
        <v>2582</v>
      </c>
      <c r="D2190" s="75" t="s">
        <v>1269</v>
      </c>
      <c r="E2190" s="75" t="s">
        <v>1266</v>
      </c>
      <c r="F2190" s="75" t="s">
        <v>1268</v>
      </c>
      <c r="G2190" s="75" t="s">
        <v>1268</v>
      </c>
    </row>
    <row r="2191" spans="1:7" x14ac:dyDescent="0.2">
      <c r="A2191" s="40">
        <v>8932</v>
      </c>
      <c r="B2191" s="39" t="s">
        <v>1448</v>
      </c>
      <c r="C2191" s="40" t="s">
        <v>2582</v>
      </c>
      <c r="D2191" s="75" t="s">
        <v>1269</v>
      </c>
      <c r="E2191" s="75" t="s">
        <v>1266</v>
      </c>
      <c r="F2191" s="75" t="s">
        <v>1268</v>
      </c>
      <c r="G2191" s="75" t="s">
        <v>1267</v>
      </c>
    </row>
    <row r="2192" spans="1:7" x14ac:dyDescent="0.2">
      <c r="A2192" s="40">
        <v>8933</v>
      </c>
      <c r="B2192" s="39" t="s">
        <v>1449</v>
      </c>
      <c r="C2192" s="40" t="s">
        <v>2582</v>
      </c>
      <c r="D2192" s="75" t="s">
        <v>1269</v>
      </c>
      <c r="E2192" s="75" t="s">
        <v>1266</v>
      </c>
      <c r="F2192" s="75" t="s">
        <v>1268</v>
      </c>
      <c r="G2192" s="75" t="s">
        <v>1268</v>
      </c>
    </row>
    <row r="2193" spans="1:7" x14ac:dyDescent="0.2">
      <c r="A2193" s="40">
        <v>8934</v>
      </c>
      <c r="B2193" s="39" t="s">
        <v>1450</v>
      </c>
      <c r="C2193" s="40" t="s">
        <v>2582</v>
      </c>
      <c r="D2193" s="75" t="s">
        <v>1269</v>
      </c>
      <c r="E2193" s="75" t="s">
        <v>1266</v>
      </c>
      <c r="F2193" s="75" t="s">
        <v>1268</v>
      </c>
      <c r="G2193" s="75" t="s">
        <v>1267</v>
      </c>
    </row>
    <row r="2194" spans="1:7" x14ac:dyDescent="0.2">
      <c r="A2194" s="40">
        <v>8940</v>
      </c>
      <c r="B2194" s="39" t="s">
        <v>1451</v>
      </c>
      <c r="C2194" s="40" t="s">
        <v>2582</v>
      </c>
      <c r="D2194" s="75" t="s">
        <v>1269</v>
      </c>
      <c r="E2194" s="75" t="s">
        <v>1266</v>
      </c>
      <c r="F2194" s="75" t="s">
        <v>1268</v>
      </c>
      <c r="G2194" s="75" t="s">
        <v>1268</v>
      </c>
    </row>
    <row r="2195" spans="1:7" x14ac:dyDescent="0.2">
      <c r="A2195" s="40">
        <v>8942</v>
      </c>
      <c r="B2195" s="39" t="s">
        <v>1452</v>
      </c>
      <c r="C2195" s="40" t="s">
        <v>2582</v>
      </c>
      <c r="D2195" s="75" t="s">
        <v>1269</v>
      </c>
      <c r="E2195" s="75" t="s">
        <v>1266</v>
      </c>
      <c r="F2195" s="75" t="s">
        <v>1268</v>
      </c>
      <c r="G2195" s="75" t="s">
        <v>1267</v>
      </c>
    </row>
    <row r="2196" spans="1:7" x14ac:dyDescent="0.2">
      <c r="A2196" s="40">
        <v>8943</v>
      </c>
      <c r="B2196" s="39" t="s">
        <v>1453</v>
      </c>
      <c r="C2196" s="40" t="s">
        <v>2582</v>
      </c>
      <c r="D2196" s="75" t="s">
        <v>1269</v>
      </c>
      <c r="E2196" s="75" t="s">
        <v>1266</v>
      </c>
      <c r="F2196" s="75" t="s">
        <v>1268</v>
      </c>
      <c r="G2196" s="75" t="s">
        <v>1268</v>
      </c>
    </row>
    <row r="2197" spans="1:7" x14ac:dyDescent="0.2">
      <c r="A2197" s="40">
        <v>8950</v>
      </c>
      <c r="B2197" s="39" t="s">
        <v>1454</v>
      </c>
      <c r="C2197" s="40" t="s">
        <v>2582</v>
      </c>
      <c r="D2197" s="75" t="s">
        <v>1269</v>
      </c>
      <c r="E2197" s="75" t="s">
        <v>1266</v>
      </c>
      <c r="F2197" s="75" t="s">
        <v>1268</v>
      </c>
      <c r="G2197" s="75" t="s">
        <v>1268</v>
      </c>
    </row>
    <row r="2198" spans="1:7" x14ac:dyDescent="0.2">
      <c r="A2198" s="40">
        <v>8951</v>
      </c>
      <c r="B2198" s="39" t="s">
        <v>1455</v>
      </c>
      <c r="C2198" s="40" t="s">
        <v>2582</v>
      </c>
      <c r="D2198" s="75" t="s">
        <v>1269</v>
      </c>
      <c r="E2198" s="75" t="s">
        <v>1266</v>
      </c>
      <c r="F2198" s="75" t="s">
        <v>1268</v>
      </c>
      <c r="G2198" s="75" t="s">
        <v>1267</v>
      </c>
    </row>
    <row r="2199" spans="1:7" x14ac:dyDescent="0.2">
      <c r="A2199" s="40">
        <v>8952</v>
      </c>
      <c r="B2199" s="39" t="s">
        <v>1456</v>
      </c>
      <c r="C2199" s="40" t="s">
        <v>2582</v>
      </c>
      <c r="D2199" s="75" t="s">
        <v>1269</v>
      </c>
      <c r="E2199" s="75" t="s">
        <v>1266</v>
      </c>
      <c r="F2199" s="75" t="s">
        <v>1268</v>
      </c>
      <c r="G2199" s="75" t="s">
        <v>1268</v>
      </c>
    </row>
    <row r="2200" spans="1:7" x14ac:dyDescent="0.2">
      <c r="A2200" s="40">
        <v>8953</v>
      </c>
      <c r="B2200" s="39" t="s">
        <v>1457</v>
      </c>
      <c r="C2200" s="40" t="s">
        <v>2582</v>
      </c>
      <c r="D2200" s="75" t="s">
        <v>1269</v>
      </c>
      <c r="E2200" s="75" t="s">
        <v>1266</v>
      </c>
      <c r="F2200" s="75" t="s">
        <v>1268</v>
      </c>
      <c r="G2200" s="75" t="s">
        <v>1267</v>
      </c>
    </row>
    <row r="2201" spans="1:7" x14ac:dyDescent="0.2">
      <c r="A2201" s="40">
        <v>8954</v>
      </c>
      <c r="B2201" s="39" t="s">
        <v>1458</v>
      </c>
      <c r="C2201" s="40" t="s">
        <v>2582</v>
      </c>
      <c r="D2201" s="75" t="s">
        <v>1269</v>
      </c>
      <c r="E2201" s="75" t="s">
        <v>1266</v>
      </c>
      <c r="F2201" s="75" t="s">
        <v>1268</v>
      </c>
      <c r="G2201" s="75" t="s">
        <v>1267</v>
      </c>
    </row>
    <row r="2202" spans="1:7" x14ac:dyDescent="0.2">
      <c r="A2202" s="40">
        <v>8960</v>
      </c>
      <c r="B2202" s="39" t="s">
        <v>1459</v>
      </c>
      <c r="C2202" s="40" t="s">
        <v>2582</v>
      </c>
      <c r="D2202" s="75" t="s">
        <v>1269</v>
      </c>
      <c r="E2202" s="75" t="s">
        <v>1266</v>
      </c>
      <c r="F2202" s="75" t="s">
        <v>1268</v>
      </c>
      <c r="G2202" s="75" t="s">
        <v>1268</v>
      </c>
    </row>
    <row r="2203" spans="1:7" x14ac:dyDescent="0.2">
      <c r="A2203" s="40">
        <v>8961</v>
      </c>
      <c r="B2203" s="39" t="s">
        <v>1460</v>
      </c>
      <c r="C2203" s="40" t="s">
        <v>2582</v>
      </c>
      <c r="D2203" s="75" t="s">
        <v>1269</v>
      </c>
      <c r="E2203" s="75" t="s">
        <v>1266</v>
      </c>
      <c r="F2203" s="75" t="s">
        <v>1268</v>
      </c>
      <c r="G2203" s="75" t="s">
        <v>1267</v>
      </c>
    </row>
    <row r="2204" spans="1:7" x14ac:dyDescent="0.2">
      <c r="A2204" s="40">
        <v>8962</v>
      </c>
      <c r="B2204" s="39" t="s">
        <v>1461</v>
      </c>
      <c r="C2204" s="40" t="s">
        <v>2582</v>
      </c>
      <c r="D2204" s="75" t="s">
        <v>1269</v>
      </c>
      <c r="E2204" s="75" t="s">
        <v>1266</v>
      </c>
      <c r="F2204" s="75" t="s">
        <v>1268</v>
      </c>
      <c r="G2204" s="75" t="s">
        <v>1268</v>
      </c>
    </row>
    <row r="2205" spans="1:7" x14ac:dyDescent="0.2">
      <c r="A2205" s="40">
        <v>8965</v>
      </c>
      <c r="B2205" s="39" t="s">
        <v>1462</v>
      </c>
      <c r="C2205" s="40" t="s">
        <v>2582</v>
      </c>
      <c r="D2205" s="75" t="s">
        <v>1269</v>
      </c>
      <c r="E2205" s="75" t="s">
        <v>1266</v>
      </c>
      <c r="F2205" s="75" t="s">
        <v>1268</v>
      </c>
      <c r="G2205" s="75" t="s">
        <v>1267</v>
      </c>
    </row>
    <row r="2206" spans="1:7" x14ac:dyDescent="0.2">
      <c r="A2206" s="40">
        <v>8966</v>
      </c>
      <c r="B2206" s="39" t="s">
        <v>1463</v>
      </c>
      <c r="C2206" s="40" t="s">
        <v>2582</v>
      </c>
      <c r="D2206" s="75" t="s">
        <v>1269</v>
      </c>
      <c r="E2206" s="75" t="s">
        <v>1266</v>
      </c>
      <c r="F2206" s="75" t="s">
        <v>1268</v>
      </c>
      <c r="G2206" s="75" t="s">
        <v>1267</v>
      </c>
    </row>
    <row r="2207" spans="1:7" x14ac:dyDescent="0.2">
      <c r="A2207" s="40">
        <v>8967</v>
      </c>
      <c r="B2207" s="39" t="s">
        <v>1464</v>
      </c>
      <c r="C2207" s="40" t="s">
        <v>2582</v>
      </c>
      <c r="D2207" s="75" t="s">
        <v>1269</v>
      </c>
      <c r="E2207" s="75" t="s">
        <v>1266</v>
      </c>
      <c r="F2207" s="75" t="s">
        <v>1268</v>
      </c>
      <c r="G2207" s="75" t="s">
        <v>1268</v>
      </c>
    </row>
    <row r="2208" spans="1:7" x14ac:dyDescent="0.2">
      <c r="A2208" s="40">
        <v>8970</v>
      </c>
      <c r="B2208" s="39" t="s">
        <v>1465</v>
      </c>
      <c r="C2208" s="40" t="s">
        <v>2582</v>
      </c>
      <c r="D2208" s="75" t="s">
        <v>1269</v>
      </c>
      <c r="E2208" s="75" t="s">
        <v>1266</v>
      </c>
      <c r="F2208" s="75" t="s">
        <v>1268</v>
      </c>
      <c r="G2208" s="75" t="s">
        <v>1268</v>
      </c>
    </row>
    <row r="2209" spans="1:7" x14ac:dyDescent="0.2">
      <c r="A2209" s="40">
        <v>8971</v>
      </c>
      <c r="B2209" s="39" t="s">
        <v>1466</v>
      </c>
      <c r="C2209" s="40" t="s">
        <v>2582</v>
      </c>
      <c r="D2209" s="75" t="s">
        <v>1269</v>
      </c>
      <c r="E2209" s="75" t="s">
        <v>1266</v>
      </c>
      <c r="F2209" s="75" t="s">
        <v>1268</v>
      </c>
      <c r="G2209" s="75" t="s">
        <v>1267</v>
      </c>
    </row>
    <row r="2210" spans="1:7" x14ac:dyDescent="0.2">
      <c r="A2210" s="40">
        <v>8972</v>
      </c>
      <c r="B2210" s="39" t="s">
        <v>463</v>
      </c>
      <c r="C2210" s="40" t="s">
        <v>2582</v>
      </c>
      <c r="D2210" s="75" t="s">
        <v>1269</v>
      </c>
      <c r="E2210" s="75" t="s">
        <v>1266</v>
      </c>
      <c r="F2210" s="75" t="s">
        <v>1268</v>
      </c>
      <c r="G2210" s="75" t="s">
        <v>1268</v>
      </c>
    </row>
    <row r="2211" spans="1:7" x14ac:dyDescent="0.2">
      <c r="A2211" s="40">
        <v>8973</v>
      </c>
      <c r="B2211" s="39" t="s">
        <v>1467</v>
      </c>
      <c r="C2211" s="40" t="s">
        <v>2582</v>
      </c>
      <c r="D2211" s="75" t="s">
        <v>1269</v>
      </c>
      <c r="E2211" s="75" t="s">
        <v>1266</v>
      </c>
      <c r="F2211" s="75" t="s">
        <v>1268</v>
      </c>
      <c r="G2211" s="75" t="s">
        <v>1267</v>
      </c>
    </row>
    <row r="2212" spans="1:7" x14ac:dyDescent="0.2">
      <c r="A2212" s="40">
        <v>8974</v>
      </c>
      <c r="B2212" s="39" t="s">
        <v>1468</v>
      </c>
      <c r="C2212" s="40" t="s">
        <v>2582</v>
      </c>
      <c r="D2212" s="75" t="s">
        <v>1269</v>
      </c>
      <c r="E2212" s="75" t="s">
        <v>1266</v>
      </c>
      <c r="F2212" s="75" t="s">
        <v>1268</v>
      </c>
      <c r="G2212" s="75" t="s">
        <v>1267</v>
      </c>
    </row>
    <row r="2213" spans="1:7" x14ac:dyDescent="0.2">
      <c r="A2213" s="40">
        <v>8982</v>
      </c>
      <c r="B2213" s="39" t="s">
        <v>1469</v>
      </c>
      <c r="C2213" s="40" t="s">
        <v>2582</v>
      </c>
      <c r="D2213" s="75" t="s">
        <v>1269</v>
      </c>
      <c r="E2213" s="75" t="s">
        <v>1266</v>
      </c>
      <c r="F2213" s="75" t="s">
        <v>1268</v>
      </c>
      <c r="G2213" s="75" t="s">
        <v>1267</v>
      </c>
    </row>
    <row r="2214" spans="1:7" x14ac:dyDescent="0.2">
      <c r="A2214" s="40">
        <v>8983</v>
      </c>
      <c r="B2214" s="39" t="s">
        <v>1470</v>
      </c>
      <c r="C2214" s="40" t="s">
        <v>2582</v>
      </c>
      <c r="D2214" s="75" t="s">
        <v>1269</v>
      </c>
      <c r="E2214" s="75" t="s">
        <v>1266</v>
      </c>
      <c r="F2214" s="75" t="s">
        <v>1268</v>
      </c>
      <c r="G2214" s="75" t="s">
        <v>1268</v>
      </c>
    </row>
    <row r="2215" spans="1:7" x14ac:dyDescent="0.2">
      <c r="A2215" s="40">
        <v>8984</v>
      </c>
      <c r="B2215" s="39" t="s">
        <v>1471</v>
      </c>
      <c r="C2215" s="40" t="s">
        <v>2582</v>
      </c>
      <c r="D2215" s="75" t="s">
        <v>1269</v>
      </c>
      <c r="E2215" s="75" t="s">
        <v>1266</v>
      </c>
      <c r="F2215" s="75" t="s">
        <v>1268</v>
      </c>
      <c r="G2215" s="75" t="s">
        <v>1267</v>
      </c>
    </row>
    <row r="2216" spans="1:7" x14ac:dyDescent="0.2">
      <c r="A2216" s="40">
        <v>8990</v>
      </c>
      <c r="B2216" s="39" t="s">
        <v>1472</v>
      </c>
      <c r="C2216" s="40" t="s">
        <v>2582</v>
      </c>
      <c r="D2216" s="75" t="s">
        <v>1269</v>
      </c>
      <c r="E2216" s="75" t="s">
        <v>1266</v>
      </c>
      <c r="F2216" s="75" t="s">
        <v>1268</v>
      </c>
      <c r="G2216" s="75" t="s">
        <v>1268</v>
      </c>
    </row>
    <row r="2217" spans="1:7" x14ac:dyDescent="0.2">
      <c r="A2217" s="40">
        <v>8992</v>
      </c>
      <c r="B2217" s="39" t="s">
        <v>1473</v>
      </c>
      <c r="C2217" s="40" t="s">
        <v>2582</v>
      </c>
      <c r="D2217" s="75" t="s">
        <v>1269</v>
      </c>
      <c r="E2217" s="75" t="s">
        <v>1266</v>
      </c>
      <c r="F2217" s="75" t="s">
        <v>1268</v>
      </c>
      <c r="G2217" s="75" t="s">
        <v>1268</v>
      </c>
    </row>
    <row r="2218" spans="1:7" x14ac:dyDescent="0.2">
      <c r="A2218" s="40">
        <v>8993</v>
      </c>
      <c r="B2218" s="39" t="s">
        <v>1474</v>
      </c>
      <c r="C2218" s="40" t="s">
        <v>2582</v>
      </c>
      <c r="D2218" s="75" t="s">
        <v>1269</v>
      </c>
      <c r="E2218" s="75" t="s">
        <v>1266</v>
      </c>
      <c r="F2218" s="75" t="s">
        <v>1268</v>
      </c>
      <c r="G2218" s="75" t="s">
        <v>1267</v>
      </c>
    </row>
    <row r="2219" spans="1:7" x14ac:dyDescent="0.2">
      <c r="A2219" s="40">
        <v>9010</v>
      </c>
      <c r="B2219" s="39" t="s">
        <v>1475</v>
      </c>
      <c r="C2219" s="40" t="s">
        <v>1476</v>
      </c>
      <c r="D2219" s="75" t="s">
        <v>1271</v>
      </c>
      <c r="E2219" s="75" t="s">
        <v>1266</v>
      </c>
      <c r="F2219" s="75" t="s">
        <v>1267</v>
      </c>
      <c r="G2219" s="75" t="s">
        <v>1268</v>
      </c>
    </row>
    <row r="2220" spans="1:7" x14ac:dyDescent="0.2">
      <c r="A2220" s="40">
        <v>9013</v>
      </c>
      <c r="B2220" s="39" t="s">
        <v>1475</v>
      </c>
      <c r="C2220" s="40" t="s">
        <v>1476</v>
      </c>
      <c r="D2220" s="75" t="s">
        <v>1271</v>
      </c>
      <c r="E2220" s="75" t="s">
        <v>1266</v>
      </c>
      <c r="F2220" s="75" t="s">
        <v>1267</v>
      </c>
      <c r="G2220" s="75" t="s">
        <v>1268</v>
      </c>
    </row>
    <row r="2221" spans="1:7" x14ac:dyDescent="0.2">
      <c r="A2221" s="40">
        <v>9020</v>
      </c>
      <c r="B2221" s="39" t="s">
        <v>1475</v>
      </c>
      <c r="C2221" s="40" t="s">
        <v>1476</v>
      </c>
      <c r="D2221" s="75" t="s">
        <v>1269</v>
      </c>
      <c r="E2221" s="75" t="s">
        <v>1266</v>
      </c>
      <c r="F2221" s="75" t="s">
        <v>1268</v>
      </c>
      <c r="G2221" s="75" t="s">
        <v>1268</v>
      </c>
    </row>
    <row r="2222" spans="1:7" x14ac:dyDescent="0.2">
      <c r="A2222" s="40">
        <v>9021</v>
      </c>
      <c r="B2222" s="39" t="s">
        <v>1477</v>
      </c>
      <c r="C2222" s="40" t="s">
        <v>1476</v>
      </c>
      <c r="D2222" s="75" t="s">
        <v>1271</v>
      </c>
      <c r="E2222" s="75" t="s">
        <v>1266</v>
      </c>
      <c r="F2222" s="75" t="s">
        <v>1267</v>
      </c>
      <c r="G2222" s="75" t="s">
        <v>1268</v>
      </c>
    </row>
    <row r="2223" spans="1:7" x14ac:dyDescent="0.2">
      <c r="A2223" s="40">
        <v>9022</v>
      </c>
      <c r="B2223" s="39" t="s">
        <v>1475</v>
      </c>
      <c r="C2223" s="40" t="s">
        <v>1476</v>
      </c>
      <c r="D2223" s="75" t="s">
        <v>1271</v>
      </c>
      <c r="E2223" s="75" t="s">
        <v>1266</v>
      </c>
      <c r="F2223" s="75" t="s">
        <v>1267</v>
      </c>
      <c r="G2223" s="75" t="s">
        <v>1268</v>
      </c>
    </row>
    <row r="2224" spans="1:7" x14ac:dyDescent="0.2">
      <c r="A2224" s="40">
        <v>9023</v>
      </c>
      <c r="B2224" s="39" t="s">
        <v>1475</v>
      </c>
      <c r="C2224" s="40" t="s">
        <v>1476</v>
      </c>
      <c r="D2224" s="75" t="s">
        <v>1271</v>
      </c>
      <c r="E2224" s="75" t="s">
        <v>1266</v>
      </c>
      <c r="F2224" s="75" t="s">
        <v>1267</v>
      </c>
      <c r="G2224" s="75" t="s">
        <v>1268</v>
      </c>
    </row>
    <row r="2225" spans="1:7" x14ac:dyDescent="0.2">
      <c r="A2225" s="40">
        <v>9024</v>
      </c>
      <c r="B2225" s="39" t="s">
        <v>1475</v>
      </c>
      <c r="C2225" s="40" t="s">
        <v>1476</v>
      </c>
      <c r="D2225" s="75" t="s">
        <v>1271</v>
      </c>
      <c r="E2225" s="75" t="s">
        <v>1266</v>
      </c>
      <c r="F2225" s="75" t="s">
        <v>1267</v>
      </c>
      <c r="G2225" s="75" t="s">
        <v>1268</v>
      </c>
    </row>
    <row r="2226" spans="1:7" x14ac:dyDescent="0.2">
      <c r="A2226" s="40">
        <v>9025</v>
      </c>
      <c r="B2226" s="39" t="s">
        <v>1475</v>
      </c>
      <c r="C2226" s="40" t="s">
        <v>1476</v>
      </c>
      <c r="D2226" s="75" t="s">
        <v>1271</v>
      </c>
      <c r="E2226" s="75" t="s">
        <v>1266</v>
      </c>
      <c r="F2226" s="75" t="s">
        <v>1267</v>
      </c>
      <c r="G2226" s="75" t="s">
        <v>1268</v>
      </c>
    </row>
    <row r="2227" spans="1:7" x14ac:dyDescent="0.2">
      <c r="A2227" s="40">
        <v>9026</v>
      </c>
      <c r="B2227" s="39" t="s">
        <v>1475</v>
      </c>
      <c r="C2227" s="40" t="s">
        <v>1476</v>
      </c>
      <c r="D2227" s="75" t="s">
        <v>1271</v>
      </c>
      <c r="E2227" s="75" t="s">
        <v>1266</v>
      </c>
      <c r="F2227" s="75" t="s">
        <v>1267</v>
      </c>
      <c r="G2227" s="75" t="s">
        <v>1268</v>
      </c>
    </row>
    <row r="2228" spans="1:7" x14ac:dyDescent="0.2">
      <c r="A2228" s="40">
        <v>9027</v>
      </c>
      <c r="B2228" s="39" t="s">
        <v>1475</v>
      </c>
      <c r="C2228" s="40" t="s">
        <v>1476</v>
      </c>
      <c r="D2228" s="75" t="s">
        <v>1271</v>
      </c>
      <c r="E2228" s="75" t="s">
        <v>1266</v>
      </c>
      <c r="F2228" s="75" t="s">
        <v>1267</v>
      </c>
      <c r="G2228" s="75" t="s">
        <v>1268</v>
      </c>
    </row>
    <row r="2229" spans="1:7" x14ac:dyDescent="0.2">
      <c r="A2229" s="40">
        <v>9028</v>
      </c>
      <c r="B2229" s="39" t="s">
        <v>1475</v>
      </c>
      <c r="C2229" s="40" t="s">
        <v>1476</v>
      </c>
      <c r="D2229" s="75" t="s">
        <v>1271</v>
      </c>
      <c r="E2229" s="75" t="s">
        <v>1266</v>
      </c>
      <c r="F2229" s="75" t="s">
        <v>1267</v>
      </c>
      <c r="G2229" s="75" t="s">
        <v>1268</v>
      </c>
    </row>
    <row r="2230" spans="1:7" x14ac:dyDescent="0.2">
      <c r="A2230" s="40">
        <v>9029</v>
      </c>
      <c r="B2230" s="39" t="s">
        <v>1475</v>
      </c>
      <c r="C2230" s="40" t="s">
        <v>1476</v>
      </c>
      <c r="D2230" s="75" t="s">
        <v>1271</v>
      </c>
      <c r="E2230" s="75" t="s">
        <v>1266</v>
      </c>
      <c r="F2230" s="75" t="s">
        <v>1267</v>
      </c>
      <c r="G2230" s="75" t="s">
        <v>1268</v>
      </c>
    </row>
    <row r="2231" spans="1:7" x14ac:dyDescent="0.2">
      <c r="A2231" s="40">
        <v>9061</v>
      </c>
      <c r="B2231" s="39" t="s">
        <v>1478</v>
      </c>
      <c r="C2231" s="40" t="s">
        <v>1476</v>
      </c>
      <c r="D2231" s="75" t="s">
        <v>1269</v>
      </c>
      <c r="E2231" s="75" t="s">
        <v>1266</v>
      </c>
      <c r="F2231" s="75" t="s">
        <v>1268</v>
      </c>
      <c r="G2231" s="75" t="s">
        <v>1268</v>
      </c>
    </row>
    <row r="2232" spans="1:7" x14ac:dyDescent="0.2">
      <c r="A2232" s="40">
        <v>9062</v>
      </c>
      <c r="B2232" s="39" t="s">
        <v>1479</v>
      </c>
      <c r="C2232" s="40" t="s">
        <v>1476</v>
      </c>
      <c r="D2232" s="75" t="s">
        <v>1269</v>
      </c>
      <c r="E2232" s="75" t="s">
        <v>1266</v>
      </c>
      <c r="F2232" s="75" t="s">
        <v>1268</v>
      </c>
      <c r="G2232" s="75" t="s">
        <v>1268</v>
      </c>
    </row>
    <row r="2233" spans="1:7" x14ac:dyDescent="0.2">
      <c r="A2233" s="40">
        <v>9063</v>
      </c>
      <c r="B2233" s="39" t="s">
        <v>1480</v>
      </c>
      <c r="C2233" s="40" t="s">
        <v>1476</v>
      </c>
      <c r="D2233" s="75" t="s">
        <v>1269</v>
      </c>
      <c r="E2233" s="75" t="s">
        <v>1266</v>
      </c>
      <c r="F2233" s="75" t="s">
        <v>1268</v>
      </c>
      <c r="G2233" s="75" t="s">
        <v>1268</v>
      </c>
    </row>
    <row r="2234" spans="1:7" x14ac:dyDescent="0.2">
      <c r="A2234" s="40">
        <v>9064</v>
      </c>
      <c r="B2234" s="39" t="s">
        <v>1481</v>
      </c>
      <c r="C2234" s="40" t="s">
        <v>1476</v>
      </c>
      <c r="D2234" s="75" t="s">
        <v>1269</v>
      </c>
      <c r="E2234" s="75" t="s">
        <v>1266</v>
      </c>
      <c r="F2234" s="75" t="s">
        <v>1268</v>
      </c>
      <c r="G2234" s="75" t="s">
        <v>1268</v>
      </c>
    </row>
    <row r="2235" spans="1:7" x14ac:dyDescent="0.2">
      <c r="A2235" s="40">
        <v>9065</v>
      </c>
      <c r="B2235" s="39" t="s">
        <v>1387</v>
      </c>
      <c r="C2235" s="40" t="s">
        <v>1476</v>
      </c>
      <c r="D2235" s="75" t="s">
        <v>1269</v>
      </c>
      <c r="E2235" s="75" t="s">
        <v>1266</v>
      </c>
      <c r="F2235" s="75" t="s">
        <v>1268</v>
      </c>
      <c r="G2235" s="75" t="s">
        <v>1268</v>
      </c>
    </row>
    <row r="2236" spans="1:7" x14ac:dyDescent="0.2">
      <c r="A2236" s="40">
        <v>9071</v>
      </c>
      <c r="B2236" s="39" t="s">
        <v>1482</v>
      </c>
      <c r="C2236" s="40" t="s">
        <v>1476</v>
      </c>
      <c r="D2236" s="75" t="s">
        <v>1269</v>
      </c>
      <c r="E2236" s="75" t="s">
        <v>1266</v>
      </c>
      <c r="F2236" s="75" t="s">
        <v>1268</v>
      </c>
      <c r="G2236" s="75" t="s">
        <v>1268</v>
      </c>
    </row>
    <row r="2237" spans="1:7" x14ac:dyDescent="0.2">
      <c r="A2237" s="40">
        <v>9072</v>
      </c>
      <c r="B2237" s="39" t="s">
        <v>1483</v>
      </c>
      <c r="C2237" s="40" t="s">
        <v>1476</v>
      </c>
      <c r="D2237" s="75" t="s">
        <v>1269</v>
      </c>
      <c r="E2237" s="75" t="s">
        <v>1266</v>
      </c>
      <c r="F2237" s="75" t="s">
        <v>1268</v>
      </c>
      <c r="G2237" s="75" t="s">
        <v>1267</v>
      </c>
    </row>
    <row r="2238" spans="1:7" x14ac:dyDescent="0.2">
      <c r="A2238" s="40">
        <v>9073</v>
      </c>
      <c r="B2238" s="39" t="s">
        <v>1484</v>
      </c>
      <c r="C2238" s="40" t="s">
        <v>1476</v>
      </c>
      <c r="D2238" s="75" t="s">
        <v>1269</v>
      </c>
      <c r="E2238" s="75" t="s">
        <v>1266</v>
      </c>
      <c r="F2238" s="75" t="s">
        <v>1268</v>
      </c>
      <c r="G2238" s="75" t="s">
        <v>1268</v>
      </c>
    </row>
    <row r="2239" spans="1:7" x14ac:dyDescent="0.2">
      <c r="A2239" s="40">
        <v>9074</v>
      </c>
      <c r="B2239" s="39" t="s">
        <v>1485</v>
      </c>
      <c r="C2239" s="40" t="s">
        <v>1476</v>
      </c>
      <c r="D2239" s="75" t="s">
        <v>1269</v>
      </c>
      <c r="E2239" s="75" t="s">
        <v>1266</v>
      </c>
      <c r="F2239" s="75" t="s">
        <v>1268</v>
      </c>
      <c r="G2239" s="75" t="s">
        <v>1268</v>
      </c>
    </row>
    <row r="2240" spans="1:7" x14ac:dyDescent="0.2">
      <c r="A2240" s="40">
        <v>9081</v>
      </c>
      <c r="B2240" s="39" t="s">
        <v>1486</v>
      </c>
      <c r="C2240" s="40" t="s">
        <v>1476</v>
      </c>
      <c r="D2240" s="75" t="s">
        <v>1269</v>
      </c>
      <c r="E2240" s="75" t="s">
        <v>1266</v>
      </c>
      <c r="F2240" s="75" t="s">
        <v>1268</v>
      </c>
      <c r="G2240" s="75" t="s">
        <v>1268</v>
      </c>
    </row>
    <row r="2241" spans="1:7" x14ac:dyDescent="0.2">
      <c r="A2241" s="40">
        <v>9082</v>
      </c>
      <c r="B2241" s="39" t="s">
        <v>1487</v>
      </c>
      <c r="C2241" s="40" t="s">
        <v>1476</v>
      </c>
      <c r="D2241" s="75" t="s">
        <v>1269</v>
      </c>
      <c r="E2241" s="75" t="s">
        <v>1266</v>
      </c>
      <c r="F2241" s="75" t="s">
        <v>1268</v>
      </c>
      <c r="G2241" s="75" t="s">
        <v>1267</v>
      </c>
    </row>
    <row r="2242" spans="1:7" x14ac:dyDescent="0.2">
      <c r="A2242" s="40">
        <v>9100</v>
      </c>
      <c r="B2242" s="39" t="s">
        <v>1488</v>
      </c>
      <c r="C2242" s="40" t="s">
        <v>1476</v>
      </c>
      <c r="D2242" s="75" t="s">
        <v>1269</v>
      </c>
      <c r="E2242" s="75" t="s">
        <v>1266</v>
      </c>
      <c r="F2242" s="75" t="s">
        <v>1268</v>
      </c>
      <c r="G2242" s="75" t="s">
        <v>1268</v>
      </c>
    </row>
    <row r="2243" spans="1:7" x14ac:dyDescent="0.2">
      <c r="A2243" s="40">
        <v>9102</v>
      </c>
      <c r="B2243" s="39" t="s">
        <v>1489</v>
      </c>
      <c r="C2243" s="40" t="s">
        <v>1476</v>
      </c>
      <c r="D2243" s="75" t="s">
        <v>1269</v>
      </c>
      <c r="E2243" s="75" t="s">
        <v>1266</v>
      </c>
      <c r="F2243" s="75" t="s">
        <v>1268</v>
      </c>
      <c r="G2243" s="75" t="s">
        <v>1267</v>
      </c>
    </row>
    <row r="2244" spans="1:7" x14ac:dyDescent="0.2">
      <c r="A2244" s="40">
        <v>9103</v>
      </c>
      <c r="B2244" s="39" t="s">
        <v>1490</v>
      </c>
      <c r="C2244" s="40" t="s">
        <v>1476</v>
      </c>
      <c r="D2244" s="75" t="s">
        <v>1269</v>
      </c>
      <c r="E2244" s="75" t="s">
        <v>1266</v>
      </c>
      <c r="F2244" s="75" t="s">
        <v>1268</v>
      </c>
      <c r="G2244" s="75" t="s">
        <v>1268</v>
      </c>
    </row>
    <row r="2245" spans="1:7" x14ac:dyDescent="0.2">
      <c r="A2245" s="40">
        <v>9104</v>
      </c>
      <c r="B2245" s="39" t="s">
        <v>1491</v>
      </c>
      <c r="C2245" s="40" t="s">
        <v>1476</v>
      </c>
      <c r="D2245" s="75" t="s">
        <v>1269</v>
      </c>
      <c r="E2245" s="75" t="s">
        <v>1266</v>
      </c>
      <c r="F2245" s="75" t="s">
        <v>1268</v>
      </c>
      <c r="G2245" s="75" t="s">
        <v>1267</v>
      </c>
    </row>
    <row r="2246" spans="1:7" x14ac:dyDescent="0.2">
      <c r="A2246" s="40">
        <v>9111</v>
      </c>
      <c r="B2246" s="39" t="s">
        <v>1492</v>
      </c>
      <c r="C2246" s="40" t="s">
        <v>1476</v>
      </c>
      <c r="D2246" s="75" t="s">
        <v>1269</v>
      </c>
      <c r="E2246" s="75" t="s">
        <v>1266</v>
      </c>
      <c r="F2246" s="75" t="s">
        <v>1268</v>
      </c>
      <c r="G2246" s="75" t="s">
        <v>1267</v>
      </c>
    </row>
    <row r="2247" spans="1:7" x14ac:dyDescent="0.2">
      <c r="A2247" s="40">
        <v>9112</v>
      </c>
      <c r="B2247" s="39" t="s">
        <v>1493</v>
      </c>
      <c r="C2247" s="40" t="s">
        <v>1476</v>
      </c>
      <c r="D2247" s="75" t="s">
        <v>1269</v>
      </c>
      <c r="E2247" s="75" t="s">
        <v>1266</v>
      </c>
      <c r="F2247" s="75" t="s">
        <v>1268</v>
      </c>
      <c r="G2247" s="75" t="s">
        <v>1268</v>
      </c>
    </row>
    <row r="2248" spans="1:7" x14ac:dyDescent="0.2">
      <c r="A2248" s="40">
        <v>9113</v>
      </c>
      <c r="B2248" s="39" t="s">
        <v>1494</v>
      </c>
      <c r="C2248" s="40" t="s">
        <v>1476</v>
      </c>
      <c r="D2248" s="75" t="s">
        <v>1269</v>
      </c>
      <c r="E2248" s="75" t="s">
        <v>1266</v>
      </c>
      <c r="F2248" s="75" t="s">
        <v>1268</v>
      </c>
      <c r="G2248" s="75" t="s">
        <v>1268</v>
      </c>
    </row>
    <row r="2249" spans="1:7" x14ac:dyDescent="0.2">
      <c r="A2249" s="40">
        <v>9121</v>
      </c>
      <c r="B2249" s="39" t="s">
        <v>1495</v>
      </c>
      <c r="C2249" s="40" t="s">
        <v>1476</v>
      </c>
      <c r="D2249" s="75" t="s">
        <v>1269</v>
      </c>
      <c r="E2249" s="75" t="s">
        <v>1266</v>
      </c>
      <c r="F2249" s="75" t="s">
        <v>1268</v>
      </c>
      <c r="G2249" s="75" t="s">
        <v>1268</v>
      </c>
    </row>
    <row r="2250" spans="1:7" x14ac:dyDescent="0.2">
      <c r="A2250" s="40">
        <v>9122</v>
      </c>
      <c r="B2250" s="39" t="s">
        <v>1496</v>
      </c>
      <c r="C2250" s="40" t="s">
        <v>1476</v>
      </c>
      <c r="D2250" s="75" t="s">
        <v>1269</v>
      </c>
      <c r="E2250" s="75" t="s">
        <v>1266</v>
      </c>
      <c r="F2250" s="75" t="s">
        <v>1268</v>
      </c>
      <c r="G2250" s="75" t="s">
        <v>1268</v>
      </c>
    </row>
    <row r="2251" spans="1:7" x14ac:dyDescent="0.2">
      <c r="A2251" s="40">
        <v>9123</v>
      </c>
      <c r="B2251" s="39" t="s">
        <v>1497</v>
      </c>
      <c r="C2251" s="40" t="s">
        <v>1476</v>
      </c>
      <c r="D2251" s="75" t="s">
        <v>1269</v>
      </c>
      <c r="E2251" s="75" t="s">
        <v>1266</v>
      </c>
      <c r="F2251" s="75" t="s">
        <v>1268</v>
      </c>
      <c r="G2251" s="75" t="s">
        <v>1267</v>
      </c>
    </row>
    <row r="2252" spans="1:7" x14ac:dyDescent="0.2">
      <c r="A2252" s="40">
        <v>9125</v>
      </c>
      <c r="B2252" s="39" t="s">
        <v>1498</v>
      </c>
      <c r="C2252" s="40" t="s">
        <v>1476</v>
      </c>
      <c r="D2252" s="75" t="s">
        <v>1269</v>
      </c>
      <c r="E2252" s="75" t="s">
        <v>1266</v>
      </c>
      <c r="F2252" s="75" t="s">
        <v>1268</v>
      </c>
      <c r="G2252" s="75" t="s">
        <v>1268</v>
      </c>
    </row>
    <row r="2253" spans="1:7" x14ac:dyDescent="0.2">
      <c r="A2253" s="40">
        <v>9130</v>
      </c>
      <c r="B2253" s="39" t="s">
        <v>1499</v>
      </c>
      <c r="C2253" s="40" t="s">
        <v>1476</v>
      </c>
      <c r="D2253" s="75" t="s">
        <v>1269</v>
      </c>
      <c r="E2253" s="75" t="s">
        <v>1266</v>
      </c>
      <c r="F2253" s="75" t="s">
        <v>1268</v>
      </c>
      <c r="G2253" s="75" t="s">
        <v>1267</v>
      </c>
    </row>
    <row r="2254" spans="1:7" x14ac:dyDescent="0.2">
      <c r="A2254" s="40">
        <v>9131</v>
      </c>
      <c r="B2254" s="39" t="s">
        <v>1500</v>
      </c>
      <c r="C2254" s="40" t="s">
        <v>1476</v>
      </c>
      <c r="D2254" s="75" t="s">
        <v>1269</v>
      </c>
      <c r="E2254" s="75" t="s">
        <v>1266</v>
      </c>
      <c r="F2254" s="75" t="s">
        <v>1268</v>
      </c>
      <c r="G2254" s="75" t="s">
        <v>1268</v>
      </c>
    </row>
    <row r="2255" spans="1:7" x14ac:dyDescent="0.2">
      <c r="A2255" s="40">
        <v>9132</v>
      </c>
      <c r="B2255" s="39" t="s">
        <v>1501</v>
      </c>
      <c r="C2255" s="40" t="s">
        <v>1476</v>
      </c>
      <c r="D2255" s="75" t="s">
        <v>1269</v>
      </c>
      <c r="E2255" s="75" t="s">
        <v>1266</v>
      </c>
      <c r="F2255" s="75" t="s">
        <v>1268</v>
      </c>
      <c r="G2255" s="75" t="s">
        <v>1267</v>
      </c>
    </row>
    <row r="2256" spans="1:7" x14ac:dyDescent="0.2">
      <c r="A2256" s="40">
        <v>9133</v>
      </c>
      <c r="B2256" s="39" t="s">
        <v>1502</v>
      </c>
      <c r="C2256" s="40" t="s">
        <v>1476</v>
      </c>
      <c r="D2256" s="75" t="s">
        <v>1269</v>
      </c>
      <c r="E2256" s="75" t="s">
        <v>1266</v>
      </c>
      <c r="F2256" s="75" t="s">
        <v>1268</v>
      </c>
      <c r="G2256" s="75" t="s">
        <v>1267</v>
      </c>
    </row>
    <row r="2257" spans="1:7" x14ac:dyDescent="0.2">
      <c r="A2257" s="40">
        <v>9135</v>
      </c>
      <c r="B2257" s="39" t="s">
        <v>1503</v>
      </c>
      <c r="C2257" s="40" t="s">
        <v>1476</v>
      </c>
      <c r="D2257" s="75" t="s">
        <v>1269</v>
      </c>
      <c r="E2257" s="75" t="s">
        <v>1266</v>
      </c>
      <c r="F2257" s="75" t="s">
        <v>1268</v>
      </c>
      <c r="G2257" s="75" t="s">
        <v>1268</v>
      </c>
    </row>
    <row r="2258" spans="1:7" x14ac:dyDescent="0.2">
      <c r="A2258" s="40">
        <v>9141</v>
      </c>
      <c r="B2258" s="39" t="s">
        <v>1504</v>
      </c>
      <c r="C2258" s="40" t="s">
        <v>1476</v>
      </c>
      <c r="D2258" s="75" t="s">
        <v>1269</v>
      </c>
      <c r="E2258" s="75" t="s">
        <v>1266</v>
      </c>
      <c r="F2258" s="75" t="s">
        <v>1268</v>
      </c>
      <c r="G2258" s="75" t="s">
        <v>1268</v>
      </c>
    </row>
    <row r="2259" spans="1:7" x14ac:dyDescent="0.2">
      <c r="A2259" s="40">
        <v>9142</v>
      </c>
      <c r="B2259" s="39" t="s">
        <v>1505</v>
      </c>
      <c r="C2259" s="40" t="s">
        <v>1476</v>
      </c>
      <c r="D2259" s="75" t="s">
        <v>1269</v>
      </c>
      <c r="E2259" s="75" t="s">
        <v>1266</v>
      </c>
      <c r="F2259" s="75" t="s">
        <v>1268</v>
      </c>
      <c r="G2259" s="75" t="s">
        <v>1268</v>
      </c>
    </row>
    <row r="2260" spans="1:7" x14ac:dyDescent="0.2">
      <c r="A2260" s="40">
        <v>9143</v>
      </c>
      <c r="B2260" s="39" t="s">
        <v>1506</v>
      </c>
      <c r="C2260" s="40" t="s">
        <v>1476</v>
      </c>
      <c r="D2260" s="75" t="s">
        <v>1269</v>
      </c>
      <c r="E2260" s="75" t="s">
        <v>1266</v>
      </c>
      <c r="F2260" s="75" t="s">
        <v>1268</v>
      </c>
      <c r="G2260" s="75" t="s">
        <v>1267</v>
      </c>
    </row>
    <row r="2261" spans="1:7" x14ac:dyDescent="0.2">
      <c r="A2261" s="40">
        <v>9150</v>
      </c>
      <c r="B2261" s="39" t="s">
        <v>1507</v>
      </c>
      <c r="C2261" s="40" t="s">
        <v>1476</v>
      </c>
      <c r="D2261" s="75" t="s">
        <v>1269</v>
      </c>
      <c r="E2261" s="75" t="s">
        <v>1266</v>
      </c>
      <c r="F2261" s="75" t="s">
        <v>1268</v>
      </c>
      <c r="G2261" s="75" t="s">
        <v>1268</v>
      </c>
    </row>
    <row r="2262" spans="1:7" x14ac:dyDescent="0.2">
      <c r="A2262" s="40">
        <v>9155</v>
      </c>
      <c r="B2262" s="39" t="s">
        <v>1870</v>
      </c>
      <c r="C2262" s="40" t="s">
        <v>1476</v>
      </c>
      <c r="D2262" s="75" t="s">
        <v>1269</v>
      </c>
      <c r="E2262" s="75" t="s">
        <v>1266</v>
      </c>
      <c r="F2262" s="75" t="s">
        <v>1268</v>
      </c>
      <c r="G2262" s="75" t="s">
        <v>1267</v>
      </c>
    </row>
    <row r="2263" spans="1:7" x14ac:dyDescent="0.2">
      <c r="A2263" s="40">
        <v>9161</v>
      </c>
      <c r="B2263" s="39" t="s">
        <v>1508</v>
      </c>
      <c r="C2263" s="40" t="s">
        <v>1476</v>
      </c>
      <c r="D2263" s="75" t="s">
        <v>1269</v>
      </c>
      <c r="E2263" s="75" t="s">
        <v>1266</v>
      </c>
      <c r="F2263" s="75" t="s">
        <v>1268</v>
      </c>
      <c r="G2263" s="75" t="s">
        <v>1268</v>
      </c>
    </row>
    <row r="2264" spans="1:7" x14ac:dyDescent="0.2">
      <c r="A2264" s="40">
        <v>9162</v>
      </c>
      <c r="B2264" s="39" t="s">
        <v>1509</v>
      </c>
      <c r="C2264" s="40" t="s">
        <v>1476</v>
      </c>
      <c r="D2264" s="75" t="s">
        <v>1269</v>
      </c>
      <c r="E2264" s="75" t="s">
        <v>1266</v>
      </c>
      <c r="F2264" s="75" t="s">
        <v>1268</v>
      </c>
      <c r="G2264" s="75" t="s">
        <v>1268</v>
      </c>
    </row>
    <row r="2265" spans="1:7" x14ac:dyDescent="0.2">
      <c r="A2265" s="40">
        <v>9163</v>
      </c>
      <c r="B2265" s="39" t="s">
        <v>1510</v>
      </c>
      <c r="C2265" s="40" t="s">
        <v>1476</v>
      </c>
      <c r="D2265" s="75" t="s">
        <v>1269</v>
      </c>
      <c r="E2265" s="75" t="s">
        <v>1266</v>
      </c>
      <c r="F2265" s="75" t="s">
        <v>1268</v>
      </c>
      <c r="G2265" s="75" t="s">
        <v>1267</v>
      </c>
    </row>
    <row r="2266" spans="1:7" x14ac:dyDescent="0.2">
      <c r="A2266" s="40">
        <v>9170</v>
      </c>
      <c r="B2266" s="39" t="s">
        <v>156</v>
      </c>
      <c r="C2266" s="40" t="s">
        <v>1476</v>
      </c>
      <c r="D2266" s="75" t="s">
        <v>1269</v>
      </c>
      <c r="E2266" s="75" t="s">
        <v>1266</v>
      </c>
      <c r="F2266" s="75" t="s">
        <v>1268</v>
      </c>
      <c r="G2266" s="75" t="s">
        <v>1268</v>
      </c>
    </row>
    <row r="2267" spans="1:7" x14ac:dyDescent="0.2">
      <c r="A2267" s="40">
        <v>9173</v>
      </c>
      <c r="B2267" s="39" t="s">
        <v>1511</v>
      </c>
      <c r="C2267" s="40" t="s">
        <v>1476</v>
      </c>
      <c r="D2267" s="75" t="s">
        <v>1269</v>
      </c>
      <c r="E2267" s="75" t="s">
        <v>1266</v>
      </c>
      <c r="F2267" s="75" t="s">
        <v>1268</v>
      </c>
      <c r="G2267" s="75" t="s">
        <v>1267</v>
      </c>
    </row>
    <row r="2268" spans="1:7" x14ac:dyDescent="0.2">
      <c r="A2268" s="40">
        <v>9181</v>
      </c>
      <c r="B2268" s="39" t="s">
        <v>1512</v>
      </c>
      <c r="C2268" s="40" t="s">
        <v>1476</v>
      </c>
      <c r="D2268" s="75" t="s">
        <v>1269</v>
      </c>
      <c r="E2268" s="75" t="s">
        <v>1266</v>
      </c>
      <c r="F2268" s="75" t="s">
        <v>1268</v>
      </c>
      <c r="G2268" s="75" t="s">
        <v>1268</v>
      </c>
    </row>
    <row r="2269" spans="1:7" x14ac:dyDescent="0.2">
      <c r="A2269" s="40">
        <v>9182</v>
      </c>
      <c r="B2269" s="39" t="s">
        <v>1513</v>
      </c>
      <c r="C2269" s="40" t="s">
        <v>1476</v>
      </c>
      <c r="D2269" s="75" t="s">
        <v>1269</v>
      </c>
      <c r="E2269" s="75" t="s">
        <v>1266</v>
      </c>
      <c r="F2269" s="75" t="s">
        <v>1268</v>
      </c>
      <c r="G2269" s="75" t="s">
        <v>1267</v>
      </c>
    </row>
    <row r="2270" spans="1:7" x14ac:dyDescent="0.2">
      <c r="A2270" s="40">
        <v>9183</v>
      </c>
      <c r="B2270" s="39" t="s">
        <v>1514</v>
      </c>
      <c r="C2270" s="40" t="s">
        <v>1476</v>
      </c>
      <c r="D2270" s="75" t="s">
        <v>1269</v>
      </c>
      <c r="E2270" s="75" t="s">
        <v>1266</v>
      </c>
      <c r="F2270" s="75" t="s">
        <v>1268</v>
      </c>
      <c r="G2270" s="75" t="s">
        <v>1267</v>
      </c>
    </row>
    <row r="2271" spans="1:7" x14ac:dyDescent="0.2">
      <c r="A2271" s="40">
        <v>9184</v>
      </c>
      <c r="B2271" s="39" t="s">
        <v>1515</v>
      </c>
      <c r="C2271" s="40" t="s">
        <v>1476</v>
      </c>
      <c r="D2271" s="75" t="s">
        <v>1269</v>
      </c>
      <c r="E2271" s="75" t="s">
        <v>1266</v>
      </c>
      <c r="F2271" s="75" t="s">
        <v>1268</v>
      </c>
      <c r="G2271" s="75" t="s">
        <v>1268</v>
      </c>
    </row>
    <row r="2272" spans="1:7" x14ac:dyDescent="0.2">
      <c r="A2272" s="40">
        <v>9201</v>
      </c>
      <c r="B2272" s="39" t="s">
        <v>1516</v>
      </c>
      <c r="C2272" s="40" t="s">
        <v>1476</v>
      </c>
      <c r="D2272" s="75" t="s">
        <v>1269</v>
      </c>
      <c r="E2272" s="75" t="s">
        <v>1266</v>
      </c>
      <c r="F2272" s="75" t="s">
        <v>1268</v>
      </c>
      <c r="G2272" s="75" t="s">
        <v>1268</v>
      </c>
    </row>
    <row r="2273" spans="1:7" x14ac:dyDescent="0.2">
      <c r="A2273" s="40">
        <v>9210</v>
      </c>
      <c r="B2273" s="39" t="s">
        <v>1517</v>
      </c>
      <c r="C2273" s="40" t="s">
        <v>1476</v>
      </c>
      <c r="D2273" s="75" t="s">
        <v>1269</v>
      </c>
      <c r="E2273" s="75" t="s">
        <v>1266</v>
      </c>
      <c r="F2273" s="75" t="s">
        <v>1268</v>
      </c>
      <c r="G2273" s="75" t="s">
        <v>1268</v>
      </c>
    </row>
    <row r="2274" spans="1:7" x14ac:dyDescent="0.2">
      <c r="A2274" s="40">
        <v>9212</v>
      </c>
      <c r="B2274" s="39" t="s">
        <v>1518</v>
      </c>
      <c r="C2274" s="40" t="s">
        <v>1476</v>
      </c>
      <c r="D2274" s="75" t="s">
        <v>1269</v>
      </c>
      <c r="E2274" s="75" t="s">
        <v>1266</v>
      </c>
      <c r="F2274" s="75" t="s">
        <v>1268</v>
      </c>
      <c r="G2274" s="75" t="s">
        <v>1267</v>
      </c>
    </row>
    <row r="2275" spans="1:7" x14ac:dyDescent="0.2">
      <c r="A2275" s="40">
        <v>9220</v>
      </c>
      <c r="B2275" s="39" t="s">
        <v>1519</v>
      </c>
      <c r="C2275" s="40" t="s">
        <v>1476</v>
      </c>
      <c r="D2275" s="75" t="s">
        <v>1269</v>
      </c>
      <c r="E2275" s="75" t="s">
        <v>1266</v>
      </c>
      <c r="F2275" s="75" t="s">
        <v>1268</v>
      </c>
      <c r="G2275" s="75" t="s">
        <v>1268</v>
      </c>
    </row>
    <row r="2276" spans="1:7" x14ac:dyDescent="0.2">
      <c r="A2276" s="40">
        <v>9231</v>
      </c>
      <c r="B2276" s="39" t="s">
        <v>1520</v>
      </c>
      <c r="C2276" s="40" t="s">
        <v>1476</v>
      </c>
      <c r="D2276" s="75" t="s">
        <v>1269</v>
      </c>
      <c r="E2276" s="75" t="s">
        <v>1266</v>
      </c>
      <c r="F2276" s="75" t="s">
        <v>1268</v>
      </c>
      <c r="G2276" s="75" t="s">
        <v>1267</v>
      </c>
    </row>
    <row r="2277" spans="1:7" x14ac:dyDescent="0.2">
      <c r="A2277" s="40">
        <v>9232</v>
      </c>
      <c r="B2277" s="39" t="s">
        <v>1521</v>
      </c>
      <c r="C2277" s="40" t="s">
        <v>1476</v>
      </c>
      <c r="D2277" s="75" t="s">
        <v>1269</v>
      </c>
      <c r="E2277" s="75" t="s">
        <v>1266</v>
      </c>
      <c r="F2277" s="75" t="s">
        <v>1268</v>
      </c>
      <c r="G2277" s="75" t="s">
        <v>1268</v>
      </c>
    </row>
    <row r="2278" spans="1:7" x14ac:dyDescent="0.2">
      <c r="A2278" s="40">
        <v>9241</v>
      </c>
      <c r="B2278" s="39" t="s">
        <v>1196</v>
      </c>
      <c r="C2278" s="40" t="s">
        <v>1476</v>
      </c>
      <c r="D2278" s="75" t="s">
        <v>1269</v>
      </c>
      <c r="E2278" s="75" t="s">
        <v>1266</v>
      </c>
      <c r="F2278" s="75" t="s">
        <v>1268</v>
      </c>
      <c r="G2278" s="75" t="s">
        <v>1268</v>
      </c>
    </row>
    <row r="2279" spans="1:7" x14ac:dyDescent="0.2">
      <c r="A2279" s="40">
        <v>9300</v>
      </c>
      <c r="B2279" s="39" t="s">
        <v>1197</v>
      </c>
      <c r="C2279" s="40" t="s">
        <v>1476</v>
      </c>
      <c r="D2279" s="75" t="s">
        <v>1269</v>
      </c>
      <c r="E2279" s="75" t="s">
        <v>1266</v>
      </c>
      <c r="F2279" s="75" t="s">
        <v>1268</v>
      </c>
      <c r="G2279" s="75" t="s">
        <v>1268</v>
      </c>
    </row>
    <row r="2280" spans="1:7" x14ac:dyDescent="0.2">
      <c r="A2280" s="40">
        <v>9302</v>
      </c>
      <c r="B2280" s="39" t="s">
        <v>1197</v>
      </c>
      <c r="C2280" s="40" t="s">
        <v>1476</v>
      </c>
      <c r="D2280" s="75" t="s">
        <v>1271</v>
      </c>
      <c r="E2280" s="75" t="s">
        <v>1266</v>
      </c>
      <c r="F2280" s="75" t="s">
        <v>1267</v>
      </c>
      <c r="G2280" s="75" t="s">
        <v>1268</v>
      </c>
    </row>
    <row r="2281" spans="1:7" x14ac:dyDescent="0.2">
      <c r="A2281" s="40">
        <v>9311</v>
      </c>
      <c r="B2281" s="39" t="s">
        <v>1198</v>
      </c>
      <c r="C2281" s="40" t="s">
        <v>1476</v>
      </c>
      <c r="D2281" s="75" t="s">
        <v>1269</v>
      </c>
      <c r="E2281" s="75" t="s">
        <v>1266</v>
      </c>
      <c r="F2281" s="75" t="s">
        <v>1268</v>
      </c>
      <c r="G2281" s="75" t="s">
        <v>1267</v>
      </c>
    </row>
    <row r="2282" spans="1:7" x14ac:dyDescent="0.2">
      <c r="A2282" s="40">
        <v>9312</v>
      </c>
      <c r="B2282" s="39" t="s">
        <v>1199</v>
      </c>
      <c r="C2282" s="40" t="s">
        <v>1476</v>
      </c>
      <c r="D2282" s="75" t="s">
        <v>1269</v>
      </c>
      <c r="E2282" s="75" t="s">
        <v>1266</v>
      </c>
      <c r="F2282" s="75" t="s">
        <v>1268</v>
      </c>
      <c r="G2282" s="75" t="s">
        <v>1267</v>
      </c>
    </row>
    <row r="2283" spans="1:7" x14ac:dyDescent="0.2">
      <c r="A2283" s="40">
        <v>9313</v>
      </c>
      <c r="B2283" s="39" t="s">
        <v>1200</v>
      </c>
      <c r="C2283" s="40" t="s">
        <v>1476</v>
      </c>
      <c r="D2283" s="75" t="s">
        <v>1269</v>
      </c>
      <c r="E2283" s="75" t="s">
        <v>1266</v>
      </c>
      <c r="F2283" s="75" t="s">
        <v>1268</v>
      </c>
      <c r="G2283" s="75" t="s">
        <v>1267</v>
      </c>
    </row>
    <row r="2284" spans="1:7" x14ac:dyDescent="0.2">
      <c r="A2284" s="40">
        <v>9314</v>
      </c>
      <c r="B2284" s="39" t="s">
        <v>1201</v>
      </c>
      <c r="C2284" s="40" t="s">
        <v>1476</v>
      </c>
      <c r="D2284" s="75" t="s">
        <v>1269</v>
      </c>
      <c r="E2284" s="75" t="s">
        <v>1266</v>
      </c>
      <c r="F2284" s="75" t="s">
        <v>1268</v>
      </c>
      <c r="G2284" s="75" t="s">
        <v>1268</v>
      </c>
    </row>
    <row r="2285" spans="1:7" x14ac:dyDescent="0.2">
      <c r="A2285" s="40">
        <v>9321</v>
      </c>
      <c r="B2285" s="39" t="s">
        <v>1202</v>
      </c>
      <c r="C2285" s="40" t="s">
        <v>1476</v>
      </c>
      <c r="D2285" s="75" t="s">
        <v>1269</v>
      </c>
      <c r="E2285" s="75" t="s">
        <v>1266</v>
      </c>
      <c r="F2285" s="75" t="s">
        <v>1268</v>
      </c>
      <c r="G2285" s="75" t="s">
        <v>1267</v>
      </c>
    </row>
    <row r="2286" spans="1:7" x14ac:dyDescent="0.2">
      <c r="A2286" s="40">
        <v>9322</v>
      </c>
      <c r="B2286" s="39" t="s">
        <v>1769</v>
      </c>
      <c r="C2286" s="40" t="s">
        <v>1476</v>
      </c>
      <c r="D2286" s="75" t="s">
        <v>1269</v>
      </c>
      <c r="E2286" s="75" t="s">
        <v>1266</v>
      </c>
      <c r="F2286" s="75" t="s">
        <v>1268</v>
      </c>
      <c r="G2286" s="75" t="s">
        <v>1267</v>
      </c>
    </row>
    <row r="2287" spans="1:7" x14ac:dyDescent="0.2">
      <c r="A2287" s="40">
        <v>9323</v>
      </c>
      <c r="B2287" s="39" t="s">
        <v>1203</v>
      </c>
      <c r="C2287" s="40" t="s">
        <v>2582</v>
      </c>
      <c r="D2287" s="75" t="s">
        <v>1269</v>
      </c>
      <c r="E2287" s="75" t="s">
        <v>1266</v>
      </c>
      <c r="F2287" s="75" t="s">
        <v>1268</v>
      </c>
      <c r="G2287" s="75" t="s">
        <v>1267</v>
      </c>
    </row>
    <row r="2288" spans="1:7" x14ac:dyDescent="0.2">
      <c r="A2288" s="40">
        <v>9330</v>
      </c>
      <c r="B2288" s="39" t="s">
        <v>1205</v>
      </c>
      <c r="C2288" s="40" t="s">
        <v>1476</v>
      </c>
      <c r="D2288" s="75" t="s">
        <v>1269</v>
      </c>
      <c r="E2288" s="75" t="s">
        <v>1266</v>
      </c>
      <c r="F2288" s="75" t="s">
        <v>1268</v>
      </c>
      <c r="G2288" s="75" t="s">
        <v>1268</v>
      </c>
    </row>
    <row r="2289" spans="1:7" x14ac:dyDescent="0.2">
      <c r="A2289" s="40">
        <v>9334</v>
      </c>
      <c r="B2289" s="39" t="s">
        <v>1206</v>
      </c>
      <c r="C2289" s="40" t="s">
        <v>1476</v>
      </c>
      <c r="D2289" s="75" t="s">
        <v>1269</v>
      </c>
      <c r="E2289" s="75" t="s">
        <v>1266</v>
      </c>
      <c r="F2289" s="75" t="s">
        <v>1268</v>
      </c>
      <c r="G2289" s="75" t="s">
        <v>1267</v>
      </c>
    </row>
    <row r="2290" spans="1:7" x14ac:dyDescent="0.2">
      <c r="A2290" s="40">
        <v>9335</v>
      </c>
      <c r="B2290" s="39" t="s">
        <v>1207</v>
      </c>
      <c r="C2290" s="40" t="s">
        <v>1476</v>
      </c>
      <c r="D2290" s="75" t="s">
        <v>1269</v>
      </c>
      <c r="E2290" s="75" t="s">
        <v>1266</v>
      </c>
      <c r="F2290" s="75" t="s">
        <v>1268</v>
      </c>
      <c r="G2290" s="75" t="s">
        <v>1267</v>
      </c>
    </row>
    <row r="2291" spans="1:7" x14ac:dyDescent="0.2">
      <c r="A2291" s="40">
        <v>9341</v>
      </c>
      <c r="B2291" s="39" t="s">
        <v>1208</v>
      </c>
      <c r="C2291" s="40" t="s">
        <v>1476</v>
      </c>
      <c r="D2291" s="75" t="s">
        <v>1269</v>
      </c>
      <c r="E2291" s="75" t="s">
        <v>1266</v>
      </c>
      <c r="F2291" s="75" t="s">
        <v>1268</v>
      </c>
      <c r="G2291" s="75" t="s">
        <v>1268</v>
      </c>
    </row>
    <row r="2292" spans="1:7" x14ac:dyDescent="0.2">
      <c r="A2292" s="40">
        <v>9342</v>
      </c>
      <c r="B2292" s="39" t="s">
        <v>1209</v>
      </c>
      <c r="C2292" s="40" t="s">
        <v>1476</v>
      </c>
      <c r="D2292" s="75" t="s">
        <v>1269</v>
      </c>
      <c r="E2292" s="75" t="s">
        <v>1266</v>
      </c>
      <c r="F2292" s="75" t="s">
        <v>1268</v>
      </c>
      <c r="G2292" s="75" t="s">
        <v>1267</v>
      </c>
    </row>
    <row r="2293" spans="1:7" x14ac:dyDescent="0.2">
      <c r="A2293" s="40">
        <v>9343</v>
      </c>
      <c r="B2293" s="39" t="s">
        <v>1210</v>
      </c>
      <c r="C2293" s="40" t="s">
        <v>1476</v>
      </c>
      <c r="D2293" s="75" t="s">
        <v>1269</v>
      </c>
      <c r="E2293" s="75" t="s">
        <v>1266</v>
      </c>
      <c r="F2293" s="75" t="s">
        <v>1268</v>
      </c>
      <c r="G2293" s="75" t="s">
        <v>1267</v>
      </c>
    </row>
    <row r="2294" spans="1:7" x14ac:dyDescent="0.2">
      <c r="A2294" s="40">
        <v>9344</v>
      </c>
      <c r="B2294" s="39" t="s">
        <v>1211</v>
      </c>
      <c r="C2294" s="40" t="s">
        <v>1476</v>
      </c>
      <c r="D2294" s="75" t="s">
        <v>1269</v>
      </c>
      <c r="E2294" s="75" t="s">
        <v>1266</v>
      </c>
      <c r="F2294" s="75" t="s">
        <v>1268</v>
      </c>
      <c r="G2294" s="75" t="s">
        <v>1268</v>
      </c>
    </row>
    <row r="2295" spans="1:7" x14ac:dyDescent="0.2">
      <c r="A2295" s="40">
        <v>9345</v>
      </c>
      <c r="B2295" s="39" t="s">
        <v>1212</v>
      </c>
      <c r="C2295" s="40" t="s">
        <v>1476</v>
      </c>
      <c r="D2295" s="75" t="s">
        <v>1269</v>
      </c>
      <c r="E2295" s="75" t="s">
        <v>1266</v>
      </c>
      <c r="F2295" s="75" t="s">
        <v>1268</v>
      </c>
      <c r="G2295" s="75" t="s">
        <v>1267</v>
      </c>
    </row>
    <row r="2296" spans="1:7" x14ac:dyDescent="0.2">
      <c r="A2296" s="40">
        <v>9346</v>
      </c>
      <c r="B2296" s="39" t="s">
        <v>1213</v>
      </c>
      <c r="C2296" s="40" t="s">
        <v>1476</v>
      </c>
      <c r="D2296" s="75" t="s">
        <v>1269</v>
      </c>
      <c r="E2296" s="75" t="s">
        <v>1266</v>
      </c>
      <c r="F2296" s="75" t="s">
        <v>1268</v>
      </c>
      <c r="G2296" s="75" t="s">
        <v>1267</v>
      </c>
    </row>
    <row r="2297" spans="1:7" x14ac:dyDescent="0.2">
      <c r="A2297" s="40">
        <v>9360</v>
      </c>
      <c r="B2297" s="39" t="s">
        <v>1214</v>
      </c>
      <c r="C2297" s="40" t="s">
        <v>1476</v>
      </c>
      <c r="D2297" s="75" t="s">
        <v>1269</v>
      </c>
      <c r="E2297" s="75" t="s">
        <v>1266</v>
      </c>
      <c r="F2297" s="75" t="s">
        <v>1268</v>
      </c>
      <c r="G2297" s="75" t="s">
        <v>1268</v>
      </c>
    </row>
    <row r="2298" spans="1:7" x14ac:dyDescent="0.2">
      <c r="A2298" s="40">
        <v>9361</v>
      </c>
      <c r="B2298" s="39" t="s">
        <v>1215</v>
      </c>
      <c r="C2298" s="40" t="s">
        <v>1476</v>
      </c>
      <c r="D2298" s="75" t="s">
        <v>1269</v>
      </c>
      <c r="E2298" s="75" t="s">
        <v>1266</v>
      </c>
      <c r="F2298" s="75" t="s">
        <v>1268</v>
      </c>
      <c r="G2298" s="75" t="s">
        <v>1267</v>
      </c>
    </row>
    <row r="2299" spans="1:7" x14ac:dyDescent="0.2">
      <c r="A2299" s="40">
        <v>9362</v>
      </c>
      <c r="B2299" s="39" t="s">
        <v>1216</v>
      </c>
      <c r="C2299" s="40" t="s">
        <v>1476</v>
      </c>
      <c r="D2299" s="75" t="s">
        <v>1269</v>
      </c>
      <c r="E2299" s="75" t="s">
        <v>1266</v>
      </c>
      <c r="F2299" s="75" t="s">
        <v>1268</v>
      </c>
      <c r="G2299" s="75" t="s">
        <v>1267</v>
      </c>
    </row>
    <row r="2300" spans="1:7" x14ac:dyDescent="0.2">
      <c r="A2300" s="40">
        <v>9363</v>
      </c>
      <c r="B2300" s="39" t="s">
        <v>1217</v>
      </c>
      <c r="C2300" s="40" t="s">
        <v>1476</v>
      </c>
      <c r="D2300" s="75" t="s">
        <v>1269</v>
      </c>
      <c r="E2300" s="75" t="s">
        <v>1266</v>
      </c>
      <c r="F2300" s="75" t="s">
        <v>1268</v>
      </c>
      <c r="G2300" s="75" t="s">
        <v>1268</v>
      </c>
    </row>
    <row r="2301" spans="1:7" x14ac:dyDescent="0.2">
      <c r="A2301" s="40">
        <v>9371</v>
      </c>
      <c r="B2301" s="39" t="s">
        <v>1218</v>
      </c>
      <c r="C2301" s="40" t="s">
        <v>1476</v>
      </c>
      <c r="D2301" s="75" t="s">
        <v>1269</v>
      </c>
      <c r="E2301" s="75" t="s">
        <v>1266</v>
      </c>
      <c r="F2301" s="75" t="s">
        <v>1268</v>
      </c>
      <c r="G2301" s="75" t="s">
        <v>1268</v>
      </c>
    </row>
    <row r="2302" spans="1:7" x14ac:dyDescent="0.2">
      <c r="A2302" s="40">
        <v>9372</v>
      </c>
      <c r="B2302" s="39" t="s">
        <v>1219</v>
      </c>
      <c r="C2302" s="40" t="s">
        <v>1476</v>
      </c>
      <c r="D2302" s="75" t="s">
        <v>1269</v>
      </c>
      <c r="E2302" s="75" t="s">
        <v>1266</v>
      </c>
      <c r="F2302" s="75" t="s">
        <v>1268</v>
      </c>
      <c r="G2302" s="75" t="s">
        <v>1267</v>
      </c>
    </row>
    <row r="2303" spans="1:7" x14ac:dyDescent="0.2">
      <c r="A2303" s="40">
        <v>9373</v>
      </c>
      <c r="B2303" s="39" t="s">
        <v>1220</v>
      </c>
      <c r="C2303" s="40" t="s">
        <v>1476</v>
      </c>
      <c r="D2303" s="75" t="s">
        <v>1269</v>
      </c>
      <c r="E2303" s="75" t="s">
        <v>1266</v>
      </c>
      <c r="F2303" s="75" t="s">
        <v>1268</v>
      </c>
      <c r="G2303" s="75" t="s">
        <v>1268</v>
      </c>
    </row>
    <row r="2304" spans="1:7" x14ac:dyDescent="0.2">
      <c r="A2304" s="40">
        <v>9374</v>
      </c>
      <c r="B2304" s="39" t="s">
        <v>1221</v>
      </c>
      <c r="C2304" s="40" t="s">
        <v>1476</v>
      </c>
      <c r="D2304" s="75" t="s">
        <v>1269</v>
      </c>
      <c r="E2304" s="75" t="s">
        <v>1266</v>
      </c>
      <c r="F2304" s="75" t="s">
        <v>1268</v>
      </c>
      <c r="G2304" s="75" t="s">
        <v>1267</v>
      </c>
    </row>
    <row r="2305" spans="1:7" x14ac:dyDescent="0.2">
      <c r="A2305" s="40">
        <v>9375</v>
      </c>
      <c r="B2305" s="39" t="s">
        <v>1222</v>
      </c>
      <c r="C2305" s="40" t="s">
        <v>1476</v>
      </c>
      <c r="D2305" s="75" t="s">
        <v>1269</v>
      </c>
      <c r="E2305" s="75" t="s">
        <v>1266</v>
      </c>
      <c r="F2305" s="75" t="s">
        <v>1268</v>
      </c>
      <c r="G2305" s="75" t="s">
        <v>1268</v>
      </c>
    </row>
    <row r="2306" spans="1:7" x14ac:dyDescent="0.2">
      <c r="A2306" s="40">
        <v>9376</v>
      </c>
      <c r="B2306" s="39" t="s">
        <v>1223</v>
      </c>
      <c r="C2306" s="40" t="s">
        <v>1476</v>
      </c>
      <c r="D2306" s="75" t="s">
        <v>1269</v>
      </c>
      <c r="E2306" s="75" t="s">
        <v>1266</v>
      </c>
      <c r="F2306" s="75" t="s">
        <v>1268</v>
      </c>
      <c r="G2306" s="75" t="s">
        <v>1267</v>
      </c>
    </row>
    <row r="2307" spans="1:7" x14ac:dyDescent="0.2">
      <c r="A2307" s="40">
        <v>9400</v>
      </c>
      <c r="B2307" s="39" t="s">
        <v>1249</v>
      </c>
      <c r="C2307" s="40" t="s">
        <v>1476</v>
      </c>
      <c r="D2307" s="75" t="s">
        <v>1269</v>
      </c>
      <c r="E2307" s="75" t="s">
        <v>1266</v>
      </c>
      <c r="F2307" s="75" t="s">
        <v>1268</v>
      </c>
      <c r="G2307" s="75" t="s">
        <v>1268</v>
      </c>
    </row>
    <row r="2308" spans="1:7" x14ac:dyDescent="0.2">
      <c r="A2308" s="40">
        <v>9402</v>
      </c>
      <c r="B2308" s="39" t="s">
        <v>1224</v>
      </c>
      <c r="C2308" s="40" t="s">
        <v>1476</v>
      </c>
      <c r="D2308" s="75" t="s">
        <v>1271</v>
      </c>
      <c r="E2308" s="75" t="s">
        <v>1266</v>
      </c>
      <c r="F2308" s="75" t="s">
        <v>1267</v>
      </c>
      <c r="G2308" s="75" t="s">
        <v>1268</v>
      </c>
    </row>
    <row r="2309" spans="1:7" x14ac:dyDescent="0.2">
      <c r="A2309" s="40">
        <v>9411</v>
      </c>
      <c r="B2309" s="39" t="s">
        <v>1225</v>
      </c>
      <c r="C2309" s="40" t="s">
        <v>1476</v>
      </c>
      <c r="D2309" s="75" t="s">
        <v>1269</v>
      </c>
      <c r="E2309" s="75" t="s">
        <v>1266</v>
      </c>
      <c r="F2309" s="75" t="s">
        <v>1268</v>
      </c>
      <c r="G2309" s="75" t="s">
        <v>1267</v>
      </c>
    </row>
    <row r="2310" spans="1:7" x14ac:dyDescent="0.2">
      <c r="A2310" s="40">
        <v>9412</v>
      </c>
      <c r="B2310" s="39" t="s">
        <v>1226</v>
      </c>
      <c r="C2310" s="40" t="s">
        <v>1476</v>
      </c>
      <c r="D2310" s="75" t="s">
        <v>1269</v>
      </c>
      <c r="E2310" s="75" t="s">
        <v>1266</v>
      </c>
      <c r="F2310" s="75" t="s">
        <v>1268</v>
      </c>
      <c r="G2310" s="75" t="s">
        <v>1267</v>
      </c>
    </row>
    <row r="2311" spans="1:7" x14ac:dyDescent="0.2">
      <c r="A2311" s="40">
        <v>9413</v>
      </c>
      <c r="B2311" s="39" t="s">
        <v>1227</v>
      </c>
      <c r="C2311" s="40" t="s">
        <v>1476</v>
      </c>
      <c r="D2311" s="75" t="s">
        <v>1269</v>
      </c>
      <c r="E2311" s="75" t="s">
        <v>1266</v>
      </c>
      <c r="F2311" s="75" t="s">
        <v>1268</v>
      </c>
      <c r="G2311" s="75" t="s">
        <v>1267</v>
      </c>
    </row>
    <row r="2312" spans="1:7" x14ac:dyDescent="0.2">
      <c r="A2312" s="40">
        <v>9421</v>
      </c>
      <c r="B2312" s="39" t="s">
        <v>1228</v>
      </c>
      <c r="C2312" s="40" t="s">
        <v>1476</v>
      </c>
      <c r="D2312" s="75" t="s">
        <v>1269</v>
      </c>
      <c r="E2312" s="75" t="s">
        <v>1266</v>
      </c>
      <c r="F2312" s="75" t="s">
        <v>1268</v>
      </c>
      <c r="G2312" s="75" t="s">
        <v>1268</v>
      </c>
    </row>
    <row r="2313" spans="1:7" x14ac:dyDescent="0.2">
      <c r="A2313" s="40">
        <v>9422</v>
      </c>
      <c r="B2313" s="39" t="s">
        <v>1229</v>
      </c>
      <c r="C2313" s="40" t="s">
        <v>1476</v>
      </c>
      <c r="D2313" s="75" t="s">
        <v>1269</v>
      </c>
      <c r="E2313" s="75" t="s">
        <v>1266</v>
      </c>
      <c r="F2313" s="75" t="s">
        <v>1268</v>
      </c>
      <c r="G2313" s="75" t="s">
        <v>1267</v>
      </c>
    </row>
    <row r="2314" spans="1:7" x14ac:dyDescent="0.2">
      <c r="A2314" s="40">
        <v>9423</v>
      </c>
      <c r="B2314" s="39" t="s">
        <v>1230</v>
      </c>
      <c r="C2314" s="40" t="s">
        <v>1476</v>
      </c>
      <c r="D2314" s="75" t="s">
        <v>1269</v>
      </c>
      <c r="E2314" s="75" t="s">
        <v>1266</v>
      </c>
      <c r="F2314" s="75" t="s">
        <v>1268</v>
      </c>
      <c r="G2314" s="75" t="s">
        <v>1267</v>
      </c>
    </row>
    <row r="2315" spans="1:7" x14ac:dyDescent="0.2">
      <c r="A2315" s="40">
        <v>9431</v>
      </c>
      <c r="B2315" s="39" t="s">
        <v>1231</v>
      </c>
      <c r="C2315" s="40" t="s">
        <v>1476</v>
      </c>
      <c r="D2315" s="75" t="s">
        <v>1269</v>
      </c>
      <c r="E2315" s="75" t="s">
        <v>1266</v>
      </c>
      <c r="F2315" s="75" t="s">
        <v>1268</v>
      </c>
      <c r="G2315" s="75" t="s">
        <v>1268</v>
      </c>
    </row>
    <row r="2316" spans="1:7" x14ac:dyDescent="0.2">
      <c r="A2316" s="40">
        <v>9433</v>
      </c>
      <c r="B2316" s="39" t="s">
        <v>1232</v>
      </c>
      <c r="C2316" s="40" t="s">
        <v>1476</v>
      </c>
      <c r="D2316" s="75" t="s">
        <v>1269</v>
      </c>
      <c r="E2316" s="75" t="s">
        <v>1266</v>
      </c>
      <c r="F2316" s="75" t="s">
        <v>1268</v>
      </c>
      <c r="G2316" s="75" t="s">
        <v>1268</v>
      </c>
    </row>
    <row r="2317" spans="1:7" x14ac:dyDescent="0.2">
      <c r="A2317" s="40">
        <v>9441</v>
      </c>
      <c r="B2317" s="39" t="s">
        <v>1233</v>
      </c>
      <c r="C2317" s="40" t="s">
        <v>1476</v>
      </c>
      <c r="D2317" s="75" t="s">
        <v>1269</v>
      </c>
      <c r="E2317" s="75" t="s">
        <v>1266</v>
      </c>
      <c r="F2317" s="75" t="s">
        <v>1268</v>
      </c>
      <c r="G2317" s="75" t="s">
        <v>1267</v>
      </c>
    </row>
    <row r="2318" spans="1:7" x14ac:dyDescent="0.2">
      <c r="A2318" s="40">
        <v>9451</v>
      </c>
      <c r="B2318" s="39" t="s">
        <v>1234</v>
      </c>
      <c r="C2318" s="40" t="s">
        <v>1476</v>
      </c>
      <c r="D2318" s="75" t="s">
        <v>1269</v>
      </c>
      <c r="E2318" s="75" t="s">
        <v>1266</v>
      </c>
      <c r="F2318" s="75" t="s">
        <v>1268</v>
      </c>
      <c r="G2318" s="75" t="s">
        <v>1267</v>
      </c>
    </row>
    <row r="2319" spans="1:7" x14ac:dyDescent="0.2">
      <c r="A2319" s="40">
        <v>9461</v>
      </c>
      <c r="B2319" s="39" t="s">
        <v>1235</v>
      </c>
      <c r="C2319" s="40" t="s">
        <v>1476</v>
      </c>
      <c r="D2319" s="75" t="s">
        <v>1269</v>
      </c>
      <c r="E2319" s="75" t="s">
        <v>1266</v>
      </c>
      <c r="F2319" s="75" t="s">
        <v>1268</v>
      </c>
      <c r="G2319" s="75" t="s">
        <v>1267</v>
      </c>
    </row>
    <row r="2320" spans="1:7" x14ac:dyDescent="0.2">
      <c r="A2320" s="40">
        <v>9462</v>
      </c>
      <c r="B2320" s="39" t="s">
        <v>1236</v>
      </c>
      <c r="C2320" s="40" t="s">
        <v>1476</v>
      </c>
      <c r="D2320" s="75" t="s">
        <v>1269</v>
      </c>
      <c r="E2320" s="75" t="s">
        <v>1266</v>
      </c>
      <c r="F2320" s="75" t="s">
        <v>1268</v>
      </c>
      <c r="G2320" s="75" t="s">
        <v>1268</v>
      </c>
    </row>
    <row r="2321" spans="1:7" x14ac:dyDescent="0.2">
      <c r="A2321" s="40">
        <v>9463</v>
      </c>
      <c r="B2321" s="39" t="s">
        <v>1237</v>
      </c>
      <c r="C2321" s="40" t="s">
        <v>1476</v>
      </c>
      <c r="D2321" s="75" t="s">
        <v>1269</v>
      </c>
      <c r="E2321" s="75" t="s">
        <v>1266</v>
      </c>
      <c r="F2321" s="75" t="s">
        <v>1268</v>
      </c>
      <c r="G2321" s="75" t="s">
        <v>1267</v>
      </c>
    </row>
    <row r="2322" spans="1:7" x14ac:dyDescent="0.2">
      <c r="A2322" s="40">
        <v>9470</v>
      </c>
      <c r="B2322" s="39" t="s">
        <v>1238</v>
      </c>
      <c r="C2322" s="40" t="s">
        <v>1476</v>
      </c>
      <c r="D2322" s="75" t="s">
        <v>1269</v>
      </c>
      <c r="E2322" s="75" t="s">
        <v>1266</v>
      </c>
      <c r="F2322" s="75" t="s">
        <v>1268</v>
      </c>
      <c r="G2322" s="75" t="s">
        <v>1268</v>
      </c>
    </row>
    <row r="2323" spans="1:7" x14ac:dyDescent="0.2">
      <c r="A2323" s="40">
        <v>9472</v>
      </c>
      <c r="B2323" s="39" t="s">
        <v>1239</v>
      </c>
      <c r="C2323" s="40" t="s">
        <v>1476</v>
      </c>
      <c r="D2323" s="75" t="s">
        <v>1269</v>
      </c>
      <c r="E2323" s="75" t="s">
        <v>1266</v>
      </c>
      <c r="F2323" s="75" t="s">
        <v>1268</v>
      </c>
      <c r="G2323" s="75" t="s">
        <v>1267</v>
      </c>
    </row>
    <row r="2324" spans="1:7" x14ac:dyDescent="0.2">
      <c r="A2324" s="40">
        <v>9473</v>
      </c>
      <c r="B2324" s="39" t="s">
        <v>1522</v>
      </c>
      <c r="C2324" s="40" t="s">
        <v>1476</v>
      </c>
      <c r="D2324" s="75" t="s">
        <v>1269</v>
      </c>
      <c r="E2324" s="75" t="s">
        <v>1266</v>
      </c>
      <c r="F2324" s="75" t="s">
        <v>1268</v>
      </c>
      <c r="G2324" s="75" t="s">
        <v>1268</v>
      </c>
    </row>
    <row r="2325" spans="1:7" x14ac:dyDescent="0.2">
      <c r="A2325" s="40">
        <v>9500</v>
      </c>
      <c r="B2325" s="39" t="s">
        <v>278</v>
      </c>
      <c r="C2325" s="40" t="s">
        <v>1476</v>
      </c>
      <c r="D2325" s="75" t="s">
        <v>1269</v>
      </c>
      <c r="E2325" s="75" t="s">
        <v>1266</v>
      </c>
      <c r="F2325" s="75" t="s">
        <v>1268</v>
      </c>
      <c r="G2325" s="75" t="s">
        <v>1268</v>
      </c>
    </row>
    <row r="2326" spans="1:7" x14ac:dyDescent="0.2">
      <c r="A2326" s="40">
        <v>9501</v>
      </c>
      <c r="B2326" s="39" t="s">
        <v>278</v>
      </c>
      <c r="C2326" s="40" t="s">
        <v>1476</v>
      </c>
      <c r="D2326" s="75" t="s">
        <v>1271</v>
      </c>
      <c r="E2326" s="75" t="s">
        <v>1266</v>
      </c>
      <c r="F2326" s="75" t="s">
        <v>1267</v>
      </c>
      <c r="G2326" s="75" t="s">
        <v>1268</v>
      </c>
    </row>
    <row r="2327" spans="1:7" x14ac:dyDescent="0.2">
      <c r="A2327" s="40">
        <v>9503</v>
      </c>
      <c r="B2327" s="39" t="s">
        <v>278</v>
      </c>
      <c r="C2327" s="40" t="s">
        <v>1476</v>
      </c>
      <c r="D2327" s="75" t="s">
        <v>1271</v>
      </c>
      <c r="E2327" s="75" t="s">
        <v>1266</v>
      </c>
      <c r="F2327" s="75" t="s">
        <v>1267</v>
      </c>
      <c r="G2327" s="75" t="s">
        <v>1268</v>
      </c>
    </row>
    <row r="2328" spans="1:7" x14ac:dyDescent="0.2">
      <c r="A2328" s="40">
        <v>9504</v>
      </c>
      <c r="B2328" s="39" t="s">
        <v>1523</v>
      </c>
      <c r="C2328" s="40" t="s">
        <v>1476</v>
      </c>
      <c r="D2328" s="75" t="s">
        <v>1269</v>
      </c>
      <c r="E2328" s="75" t="s">
        <v>1266</v>
      </c>
      <c r="F2328" s="75" t="s">
        <v>1268</v>
      </c>
      <c r="G2328" s="75" t="s">
        <v>1267</v>
      </c>
    </row>
    <row r="2329" spans="1:7" x14ac:dyDescent="0.2">
      <c r="A2329" s="40">
        <v>9505</v>
      </c>
      <c r="B2329" s="39" t="s">
        <v>278</v>
      </c>
      <c r="C2329" s="40" t="s">
        <v>1476</v>
      </c>
      <c r="D2329" s="75" t="s">
        <v>1271</v>
      </c>
      <c r="E2329" s="75" t="s">
        <v>1266</v>
      </c>
      <c r="F2329" s="75" t="s">
        <v>1267</v>
      </c>
      <c r="G2329" s="75" t="s">
        <v>1268</v>
      </c>
    </row>
    <row r="2330" spans="1:7" x14ac:dyDescent="0.2">
      <c r="A2330" s="40">
        <v>9506</v>
      </c>
      <c r="B2330" s="39" t="s">
        <v>278</v>
      </c>
      <c r="C2330" s="40" t="s">
        <v>1476</v>
      </c>
      <c r="D2330" s="75" t="s">
        <v>1271</v>
      </c>
      <c r="E2330" s="75" t="s">
        <v>1266</v>
      </c>
      <c r="F2330" s="75" t="s">
        <v>1267</v>
      </c>
      <c r="G2330" s="75" t="s">
        <v>1268</v>
      </c>
    </row>
    <row r="2331" spans="1:7" x14ac:dyDescent="0.2">
      <c r="A2331" s="40">
        <v>9507</v>
      </c>
      <c r="B2331" s="39" t="s">
        <v>278</v>
      </c>
      <c r="C2331" s="40" t="s">
        <v>1476</v>
      </c>
      <c r="D2331" s="75" t="s">
        <v>1271</v>
      </c>
      <c r="E2331" s="75" t="s">
        <v>1266</v>
      </c>
      <c r="F2331" s="75" t="s">
        <v>1267</v>
      </c>
      <c r="G2331" s="75" t="s">
        <v>1268</v>
      </c>
    </row>
    <row r="2332" spans="1:7" x14ac:dyDescent="0.2">
      <c r="A2332" s="40">
        <v>9508</v>
      </c>
      <c r="B2332" s="39" t="s">
        <v>278</v>
      </c>
      <c r="C2332" s="40" t="s">
        <v>1476</v>
      </c>
      <c r="D2332" s="75" t="s">
        <v>1271</v>
      </c>
      <c r="E2332" s="75" t="s">
        <v>1266</v>
      </c>
      <c r="F2332" s="75" t="s">
        <v>1267</v>
      </c>
      <c r="G2332" s="75" t="s">
        <v>1268</v>
      </c>
    </row>
    <row r="2333" spans="1:7" x14ac:dyDescent="0.2">
      <c r="A2333" s="40">
        <v>9520</v>
      </c>
      <c r="B2333" s="39" t="s">
        <v>1524</v>
      </c>
      <c r="C2333" s="40" t="s">
        <v>1476</v>
      </c>
      <c r="D2333" s="75" t="s">
        <v>1269</v>
      </c>
      <c r="E2333" s="75" t="s">
        <v>1266</v>
      </c>
      <c r="F2333" s="75" t="s">
        <v>1268</v>
      </c>
      <c r="G2333" s="75" t="s">
        <v>1267</v>
      </c>
    </row>
    <row r="2334" spans="1:7" x14ac:dyDescent="0.2">
      <c r="A2334" s="40">
        <v>9521</v>
      </c>
      <c r="B2334" s="39" t="s">
        <v>1525</v>
      </c>
      <c r="C2334" s="40" t="s">
        <v>1476</v>
      </c>
      <c r="D2334" s="75" t="s">
        <v>1269</v>
      </c>
      <c r="E2334" s="75" t="s">
        <v>1266</v>
      </c>
      <c r="F2334" s="75" t="s">
        <v>1268</v>
      </c>
      <c r="G2334" s="75" t="s">
        <v>1268</v>
      </c>
    </row>
    <row r="2335" spans="1:7" x14ac:dyDescent="0.2">
      <c r="A2335" s="40">
        <v>9523</v>
      </c>
      <c r="B2335" s="39" t="s">
        <v>1526</v>
      </c>
      <c r="C2335" s="40" t="s">
        <v>1476</v>
      </c>
      <c r="D2335" s="75" t="s">
        <v>1269</v>
      </c>
      <c r="E2335" s="75" t="s">
        <v>1266</v>
      </c>
      <c r="F2335" s="75" t="s">
        <v>1268</v>
      </c>
      <c r="G2335" s="75" t="s">
        <v>1268</v>
      </c>
    </row>
    <row r="2336" spans="1:7" x14ac:dyDescent="0.2">
      <c r="A2336" s="40">
        <v>9524</v>
      </c>
      <c r="B2336" s="39" t="s">
        <v>1527</v>
      </c>
      <c r="C2336" s="40" t="s">
        <v>1476</v>
      </c>
      <c r="D2336" s="75" t="s">
        <v>1269</v>
      </c>
      <c r="E2336" s="75" t="s">
        <v>1266</v>
      </c>
      <c r="F2336" s="75" t="s">
        <v>1268</v>
      </c>
      <c r="G2336" s="75" t="s">
        <v>1268</v>
      </c>
    </row>
    <row r="2337" spans="1:7" x14ac:dyDescent="0.2">
      <c r="A2337" s="40">
        <v>9530</v>
      </c>
      <c r="B2337" s="39" t="s">
        <v>1528</v>
      </c>
      <c r="C2337" s="40" t="s">
        <v>1476</v>
      </c>
      <c r="D2337" s="75" t="s">
        <v>1269</v>
      </c>
      <c r="E2337" s="75" t="s">
        <v>1266</v>
      </c>
      <c r="F2337" s="75" t="s">
        <v>1268</v>
      </c>
      <c r="G2337" s="75" t="s">
        <v>1268</v>
      </c>
    </row>
    <row r="2338" spans="1:7" x14ac:dyDescent="0.2">
      <c r="A2338" s="40">
        <v>9531</v>
      </c>
      <c r="B2338" s="39" t="s">
        <v>1529</v>
      </c>
      <c r="C2338" s="40" t="s">
        <v>1476</v>
      </c>
      <c r="D2338" s="75" t="s">
        <v>1269</v>
      </c>
      <c r="E2338" s="75" t="s">
        <v>1266</v>
      </c>
      <c r="F2338" s="75" t="s">
        <v>1268</v>
      </c>
      <c r="G2338" s="75" t="s">
        <v>1267</v>
      </c>
    </row>
    <row r="2339" spans="1:7" x14ac:dyDescent="0.2">
      <c r="A2339" s="40">
        <v>9535</v>
      </c>
      <c r="B2339" s="39" t="s">
        <v>1530</v>
      </c>
      <c r="C2339" s="40" t="s">
        <v>1476</v>
      </c>
      <c r="D2339" s="75" t="s">
        <v>1269</v>
      </c>
      <c r="E2339" s="75" t="s">
        <v>1266</v>
      </c>
      <c r="F2339" s="75" t="s">
        <v>1268</v>
      </c>
      <c r="G2339" s="75" t="s">
        <v>1268</v>
      </c>
    </row>
    <row r="2340" spans="1:7" x14ac:dyDescent="0.2">
      <c r="A2340" s="40">
        <v>9536</v>
      </c>
      <c r="B2340" s="39" t="s">
        <v>1531</v>
      </c>
      <c r="C2340" s="40" t="s">
        <v>1476</v>
      </c>
      <c r="D2340" s="75" t="s">
        <v>1269</v>
      </c>
      <c r="E2340" s="75" t="s">
        <v>1266</v>
      </c>
      <c r="F2340" s="75" t="s">
        <v>1268</v>
      </c>
      <c r="G2340" s="75" t="s">
        <v>1267</v>
      </c>
    </row>
    <row r="2341" spans="1:7" x14ac:dyDescent="0.2">
      <c r="A2341" s="40">
        <v>9541</v>
      </c>
      <c r="B2341" s="39" t="s">
        <v>1532</v>
      </c>
      <c r="C2341" s="40" t="s">
        <v>1476</v>
      </c>
      <c r="D2341" s="75" t="s">
        <v>1269</v>
      </c>
      <c r="E2341" s="75" t="s">
        <v>1266</v>
      </c>
      <c r="F2341" s="75" t="s">
        <v>1268</v>
      </c>
      <c r="G2341" s="75" t="s">
        <v>1267</v>
      </c>
    </row>
    <row r="2342" spans="1:7" x14ac:dyDescent="0.2">
      <c r="A2342" s="40">
        <v>9542</v>
      </c>
      <c r="B2342" s="39" t="s">
        <v>1533</v>
      </c>
      <c r="C2342" s="40" t="s">
        <v>1476</v>
      </c>
      <c r="D2342" s="75" t="s">
        <v>1269</v>
      </c>
      <c r="E2342" s="75" t="s">
        <v>1266</v>
      </c>
      <c r="F2342" s="75" t="s">
        <v>1268</v>
      </c>
      <c r="G2342" s="75" t="s">
        <v>1268</v>
      </c>
    </row>
    <row r="2343" spans="1:7" x14ac:dyDescent="0.2">
      <c r="A2343" s="40">
        <v>9543</v>
      </c>
      <c r="B2343" s="39" t="s">
        <v>123</v>
      </c>
      <c r="C2343" s="40" t="s">
        <v>1476</v>
      </c>
      <c r="D2343" s="75" t="s">
        <v>1269</v>
      </c>
      <c r="E2343" s="75" t="s">
        <v>1266</v>
      </c>
      <c r="F2343" s="75" t="s">
        <v>1268</v>
      </c>
      <c r="G2343" s="75" t="s">
        <v>1267</v>
      </c>
    </row>
    <row r="2344" spans="1:7" x14ac:dyDescent="0.2">
      <c r="A2344" s="40">
        <v>9544</v>
      </c>
      <c r="B2344" s="39" t="s">
        <v>1534</v>
      </c>
      <c r="C2344" s="40" t="s">
        <v>1476</v>
      </c>
      <c r="D2344" s="75" t="s">
        <v>1269</v>
      </c>
      <c r="E2344" s="75" t="s">
        <v>1266</v>
      </c>
      <c r="F2344" s="75" t="s">
        <v>1268</v>
      </c>
      <c r="G2344" s="75" t="s">
        <v>1267</v>
      </c>
    </row>
    <row r="2345" spans="1:7" x14ac:dyDescent="0.2">
      <c r="A2345" s="40">
        <v>9545</v>
      </c>
      <c r="B2345" s="39" t="s">
        <v>1535</v>
      </c>
      <c r="C2345" s="40" t="s">
        <v>1476</v>
      </c>
      <c r="D2345" s="75" t="s">
        <v>1269</v>
      </c>
      <c r="E2345" s="75" t="s">
        <v>1266</v>
      </c>
      <c r="F2345" s="75" t="s">
        <v>1268</v>
      </c>
      <c r="G2345" s="75" t="s">
        <v>1268</v>
      </c>
    </row>
    <row r="2346" spans="1:7" x14ac:dyDescent="0.2">
      <c r="A2346" s="40">
        <v>9546</v>
      </c>
      <c r="B2346" s="39" t="s">
        <v>1536</v>
      </c>
      <c r="C2346" s="40" t="s">
        <v>1476</v>
      </c>
      <c r="D2346" s="75" t="s">
        <v>1269</v>
      </c>
      <c r="E2346" s="75" t="s">
        <v>1266</v>
      </c>
      <c r="F2346" s="75" t="s">
        <v>1268</v>
      </c>
      <c r="G2346" s="75" t="s">
        <v>1268</v>
      </c>
    </row>
    <row r="2347" spans="1:7" x14ac:dyDescent="0.2">
      <c r="A2347" s="40">
        <v>9551</v>
      </c>
      <c r="B2347" s="39" t="s">
        <v>1537</v>
      </c>
      <c r="C2347" s="40" t="s">
        <v>1476</v>
      </c>
      <c r="D2347" s="75" t="s">
        <v>1269</v>
      </c>
      <c r="E2347" s="75" t="s">
        <v>1266</v>
      </c>
      <c r="F2347" s="75" t="s">
        <v>1268</v>
      </c>
      <c r="G2347" s="75" t="s">
        <v>1268</v>
      </c>
    </row>
    <row r="2348" spans="1:7" x14ac:dyDescent="0.2">
      <c r="A2348" s="40">
        <v>9552</v>
      </c>
      <c r="B2348" s="39" t="s">
        <v>1538</v>
      </c>
      <c r="C2348" s="40" t="s">
        <v>1476</v>
      </c>
      <c r="D2348" s="75" t="s">
        <v>1269</v>
      </c>
      <c r="E2348" s="75" t="s">
        <v>1266</v>
      </c>
      <c r="F2348" s="75" t="s">
        <v>1268</v>
      </c>
      <c r="G2348" s="75" t="s">
        <v>1267</v>
      </c>
    </row>
    <row r="2349" spans="1:7" x14ac:dyDescent="0.2">
      <c r="A2349" s="40">
        <v>9554</v>
      </c>
      <c r="B2349" s="39" t="s">
        <v>1539</v>
      </c>
      <c r="C2349" s="40" t="s">
        <v>1476</v>
      </c>
      <c r="D2349" s="75" t="s">
        <v>1269</v>
      </c>
      <c r="E2349" s="75" t="s">
        <v>1266</v>
      </c>
      <c r="F2349" s="75" t="s">
        <v>1268</v>
      </c>
      <c r="G2349" s="75" t="s">
        <v>1267</v>
      </c>
    </row>
    <row r="2350" spans="1:7" x14ac:dyDescent="0.2">
      <c r="A2350" s="40">
        <v>9555</v>
      </c>
      <c r="B2350" s="39" t="s">
        <v>1540</v>
      </c>
      <c r="C2350" s="40" t="s">
        <v>1476</v>
      </c>
      <c r="D2350" s="75" t="s">
        <v>1269</v>
      </c>
      <c r="E2350" s="75" t="s">
        <v>1266</v>
      </c>
      <c r="F2350" s="75" t="s">
        <v>1268</v>
      </c>
      <c r="G2350" s="75" t="s">
        <v>1268</v>
      </c>
    </row>
    <row r="2351" spans="1:7" x14ac:dyDescent="0.2">
      <c r="A2351" s="40">
        <v>9556</v>
      </c>
      <c r="B2351" s="39" t="s">
        <v>1541</v>
      </c>
      <c r="C2351" s="40" t="s">
        <v>1476</v>
      </c>
      <c r="D2351" s="75" t="s">
        <v>1269</v>
      </c>
      <c r="E2351" s="75" t="s">
        <v>1266</v>
      </c>
      <c r="F2351" s="75" t="s">
        <v>1268</v>
      </c>
      <c r="G2351" s="75" t="s">
        <v>1268</v>
      </c>
    </row>
    <row r="2352" spans="1:7" x14ac:dyDescent="0.2">
      <c r="A2352" s="40">
        <v>9560</v>
      </c>
      <c r="B2352" s="39" t="s">
        <v>1542</v>
      </c>
      <c r="C2352" s="40" t="s">
        <v>1476</v>
      </c>
      <c r="D2352" s="75" t="s">
        <v>1269</v>
      </c>
      <c r="E2352" s="75" t="s">
        <v>1266</v>
      </c>
      <c r="F2352" s="75" t="s">
        <v>1268</v>
      </c>
      <c r="G2352" s="75" t="s">
        <v>1268</v>
      </c>
    </row>
    <row r="2353" spans="1:7" x14ac:dyDescent="0.2">
      <c r="A2353" s="40">
        <v>9562</v>
      </c>
      <c r="B2353" s="39" t="s">
        <v>1543</v>
      </c>
      <c r="C2353" s="40" t="s">
        <v>1476</v>
      </c>
      <c r="D2353" s="75" t="s">
        <v>1269</v>
      </c>
      <c r="E2353" s="75" t="s">
        <v>1266</v>
      </c>
      <c r="F2353" s="75" t="s">
        <v>1268</v>
      </c>
      <c r="G2353" s="75" t="s">
        <v>1267</v>
      </c>
    </row>
    <row r="2354" spans="1:7" x14ac:dyDescent="0.2">
      <c r="A2354" s="40">
        <v>9563</v>
      </c>
      <c r="B2354" s="39" t="s">
        <v>1544</v>
      </c>
      <c r="C2354" s="40" t="s">
        <v>1476</v>
      </c>
      <c r="D2354" s="75" t="s">
        <v>1269</v>
      </c>
      <c r="E2354" s="75" t="s">
        <v>1266</v>
      </c>
      <c r="F2354" s="75" t="s">
        <v>1268</v>
      </c>
      <c r="G2354" s="75" t="s">
        <v>1267</v>
      </c>
    </row>
    <row r="2355" spans="1:7" x14ac:dyDescent="0.2">
      <c r="A2355" s="40">
        <v>9564</v>
      </c>
      <c r="B2355" s="39" t="s">
        <v>1545</v>
      </c>
      <c r="C2355" s="40" t="s">
        <v>1476</v>
      </c>
      <c r="D2355" s="75" t="s">
        <v>1269</v>
      </c>
      <c r="E2355" s="75" t="s">
        <v>1266</v>
      </c>
      <c r="F2355" s="75" t="s">
        <v>1268</v>
      </c>
      <c r="G2355" s="75" t="s">
        <v>1268</v>
      </c>
    </row>
    <row r="2356" spans="1:7" x14ac:dyDescent="0.2">
      <c r="A2356" s="40">
        <v>9565</v>
      </c>
      <c r="B2356" s="39" t="s">
        <v>1546</v>
      </c>
      <c r="C2356" s="40" t="s">
        <v>1476</v>
      </c>
      <c r="D2356" s="75" t="s">
        <v>1269</v>
      </c>
      <c r="E2356" s="75" t="s">
        <v>1266</v>
      </c>
      <c r="F2356" s="75" t="s">
        <v>1268</v>
      </c>
      <c r="G2356" s="75" t="s">
        <v>1267</v>
      </c>
    </row>
    <row r="2357" spans="1:7" x14ac:dyDescent="0.2">
      <c r="A2357" s="40">
        <v>9570</v>
      </c>
      <c r="B2357" s="39" t="s">
        <v>1547</v>
      </c>
      <c r="C2357" s="40" t="s">
        <v>1476</v>
      </c>
      <c r="D2357" s="75" t="s">
        <v>1269</v>
      </c>
      <c r="E2357" s="75" t="s">
        <v>1266</v>
      </c>
      <c r="F2357" s="75" t="s">
        <v>1268</v>
      </c>
      <c r="G2357" s="75" t="s">
        <v>1267</v>
      </c>
    </row>
    <row r="2358" spans="1:7" x14ac:dyDescent="0.2">
      <c r="A2358" s="40">
        <v>9571</v>
      </c>
      <c r="B2358" s="39" t="s">
        <v>1548</v>
      </c>
      <c r="C2358" s="40" t="s">
        <v>1476</v>
      </c>
      <c r="D2358" s="75" t="s">
        <v>1269</v>
      </c>
      <c r="E2358" s="75" t="s">
        <v>1266</v>
      </c>
      <c r="F2358" s="75" t="s">
        <v>1268</v>
      </c>
      <c r="G2358" s="75" t="s">
        <v>1268</v>
      </c>
    </row>
    <row r="2359" spans="1:7" x14ac:dyDescent="0.2">
      <c r="A2359" s="40">
        <v>9572</v>
      </c>
      <c r="B2359" s="39" t="s">
        <v>1549</v>
      </c>
      <c r="C2359" s="40" t="s">
        <v>1476</v>
      </c>
      <c r="D2359" s="75" t="s">
        <v>1269</v>
      </c>
      <c r="E2359" s="75" t="s">
        <v>1266</v>
      </c>
      <c r="F2359" s="75" t="s">
        <v>1268</v>
      </c>
      <c r="G2359" s="75" t="s">
        <v>1267</v>
      </c>
    </row>
    <row r="2360" spans="1:7" x14ac:dyDescent="0.2">
      <c r="A2360" s="40">
        <v>9580</v>
      </c>
      <c r="B2360" s="39" t="s">
        <v>1550</v>
      </c>
      <c r="C2360" s="40" t="s">
        <v>1476</v>
      </c>
      <c r="D2360" s="75" t="s">
        <v>1269</v>
      </c>
      <c r="E2360" s="75" t="s">
        <v>1266</v>
      </c>
      <c r="F2360" s="75" t="s">
        <v>1268</v>
      </c>
      <c r="G2360" s="75" t="s">
        <v>1268</v>
      </c>
    </row>
    <row r="2361" spans="1:7" x14ac:dyDescent="0.2">
      <c r="A2361" s="40">
        <v>9581</v>
      </c>
      <c r="B2361" s="39" t="s">
        <v>648</v>
      </c>
      <c r="C2361" s="40" t="s">
        <v>1476</v>
      </c>
      <c r="D2361" s="75" t="s">
        <v>1269</v>
      </c>
      <c r="E2361" s="75" t="s">
        <v>1266</v>
      </c>
      <c r="F2361" s="75" t="s">
        <v>1268</v>
      </c>
      <c r="G2361" s="75" t="s">
        <v>1268</v>
      </c>
    </row>
    <row r="2362" spans="1:7" x14ac:dyDescent="0.2">
      <c r="A2362" s="40">
        <v>9582</v>
      </c>
      <c r="B2362" s="39" t="s">
        <v>37</v>
      </c>
      <c r="C2362" s="40" t="s">
        <v>1476</v>
      </c>
      <c r="D2362" s="75" t="s">
        <v>1269</v>
      </c>
      <c r="E2362" s="75" t="s">
        <v>1266</v>
      </c>
      <c r="F2362" s="75" t="s">
        <v>1268</v>
      </c>
      <c r="G2362" s="75" t="s">
        <v>1267</v>
      </c>
    </row>
    <row r="2363" spans="1:7" x14ac:dyDescent="0.2">
      <c r="A2363" s="40">
        <v>9583</v>
      </c>
      <c r="B2363" s="39" t="s">
        <v>38</v>
      </c>
      <c r="C2363" s="40" t="s">
        <v>1476</v>
      </c>
      <c r="D2363" s="75" t="s">
        <v>1269</v>
      </c>
      <c r="E2363" s="75" t="s">
        <v>1266</v>
      </c>
      <c r="F2363" s="75" t="s">
        <v>1268</v>
      </c>
      <c r="G2363" s="75" t="s">
        <v>1267</v>
      </c>
    </row>
    <row r="2364" spans="1:7" x14ac:dyDescent="0.2">
      <c r="A2364" s="40">
        <v>9584</v>
      </c>
      <c r="B2364" s="39" t="s">
        <v>39</v>
      </c>
      <c r="C2364" s="40" t="s">
        <v>1476</v>
      </c>
      <c r="D2364" s="75" t="s">
        <v>1269</v>
      </c>
      <c r="E2364" s="75" t="s">
        <v>1266</v>
      </c>
      <c r="F2364" s="75" t="s">
        <v>1268</v>
      </c>
      <c r="G2364" s="75" t="s">
        <v>1267</v>
      </c>
    </row>
    <row r="2365" spans="1:7" x14ac:dyDescent="0.2">
      <c r="A2365" s="40">
        <v>9585</v>
      </c>
      <c r="B2365" s="39" t="s">
        <v>40</v>
      </c>
      <c r="C2365" s="40" t="s">
        <v>1476</v>
      </c>
      <c r="D2365" s="75" t="s">
        <v>1269</v>
      </c>
      <c r="E2365" s="75" t="s">
        <v>1266</v>
      </c>
      <c r="F2365" s="75" t="s">
        <v>1268</v>
      </c>
      <c r="G2365" s="75" t="s">
        <v>1267</v>
      </c>
    </row>
    <row r="2366" spans="1:7" x14ac:dyDescent="0.2">
      <c r="A2366" s="40">
        <v>9586</v>
      </c>
      <c r="B2366" s="39" t="s">
        <v>41</v>
      </c>
      <c r="C2366" s="40" t="s">
        <v>1476</v>
      </c>
      <c r="D2366" s="75" t="s">
        <v>1269</v>
      </c>
      <c r="E2366" s="75" t="s">
        <v>1266</v>
      </c>
      <c r="F2366" s="75" t="s">
        <v>1268</v>
      </c>
      <c r="G2366" s="75" t="s">
        <v>1268</v>
      </c>
    </row>
    <row r="2367" spans="1:7" x14ac:dyDescent="0.2">
      <c r="A2367" s="40">
        <v>9587</v>
      </c>
      <c r="B2367" s="39" t="s">
        <v>42</v>
      </c>
      <c r="C2367" s="40" t="s">
        <v>1476</v>
      </c>
      <c r="D2367" s="75" t="s">
        <v>1269</v>
      </c>
      <c r="E2367" s="75" t="s">
        <v>1266</v>
      </c>
      <c r="F2367" s="75" t="s">
        <v>1268</v>
      </c>
      <c r="G2367" s="75" t="s">
        <v>1268</v>
      </c>
    </row>
    <row r="2368" spans="1:7" x14ac:dyDescent="0.2">
      <c r="A2368" s="40">
        <v>9601</v>
      </c>
      <c r="B2368" s="39" t="s">
        <v>43</v>
      </c>
      <c r="C2368" s="40" t="s">
        <v>1476</v>
      </c>
      <c r="D2368" s="75" t="s">
        <v>1269</v>
      </c>
      <c r="E2368" s="75" t="s">
        <v>1266</v>
      </c>
      <c r="F2368" s="75" t="s">
        <v>1268</v>
      </c>
      <c r="G2368" s="75" t="s">
        <v>1268</v>
      </c>
    </row>
    <row r="2369" spans="1:7" x14ac:dyDescent="0.2">
      <c r="A2369" s="40">
        <v>9602</v>
      </c>
      <c r="B2369" s="39" t="s">
        <v>44</v>
      </c>
      <c r="C2369" s="40" t="s">
        <v>1476</v>
      </c>
      <c r="D2369" s="75" t="s">
        <v>1269</v>
      </c>
      <c r="E2369" s="75" t="s">
        <v>1266</v>
      </c>
      <c r="F2369" s="75" t="s">
        <v>1268</v>
      </c>
      <c r="G2369" s="75" t="s">
        <v>1268</v>
      </c>
    </row>
    <row r="2370" spans="1:7" x14ac:dyDescent="0.2">
      <c r="A2370" s="40">
        <v>9611</v>
      </c>
      <c r="B2370" s="39" t="s">
        <v>45</v>
      </c>
      <c r="C2370" s="40" t="s">
        <v>1476</v>
      </c>
      <c r="D2370" s="75" t="s">
        <v>1269</v>
      </c>
      <c r="E2370" s="75" t="s">
        <v>1266</v>
      </c>
      <c r="F2370" s="75" t="s">
        <v>1268</v>
      </c>
      <c r="G2370" s="75" t="s">
        <v>1268</v>
      </c>
    </row>
    <row r="2371" spans="1:7" x14ac:dyDescent="0.2">
      <c r="A2371" s="40">
        <v>9612</v>
      </c>
      <c r="B2371" s="39" t="s">
        <v>46</v>
      </c>
      <c r="C2371" s="40" t="s">
        <v>1476</v>
      </c>
      <c r="D2371" s="75" t="s">
        <v>1269</v>
      </c>
      <c r="E2371" s="75" t="s">
        <v>1266</v>
      </c>
      <c r="F2371" s="75" t="s">
        <v>1268</v>
      </c>
      <c r="G2371" s="75" t="s">
        <v>1267</v>
      </c>
    </row>
    <row r="2372" spans="1:7" x14ac:dyDescent="0.2">
      <c r="A2372" s="40">
        <v>9613</v>
      </c>
      <c r="B2372" s="39" t="s">
        <v>47</v>
      </c>
      <c r="C2372" s="40" t="s">
        <v>1476</v>
      </c>
      <c r="D2372" s="75" t="s">
        <v>1269</v>
      </c>
      <c r="E2372" s="75" t="s">
        <v>1266</v>
      </c>
      <c r="F2372" s="75" t="s">
        <v>1268</v>
      </c>
      <c r="G2372" s="75" t="s">
        <v>1267</v>
      </c>
    </row>
    <row r="2373" spans="1:7" x14ac:dyDescent="0.2">
      <c r="A2373" s="40">
        <v>9614</v>
      </c>
      <c r="B2373" s="39" t="s">
        <v>48</v>
      </c>
      <c r="C2373" s="40" t="s">
        <v>1476</v>
      </c>
      <c r="D2373" s="75" t="s">
        <v>1269</v>
      </c>
      <c r="E2373" s="75" t="s">
        <v>1266</v>
      </c>
      <c r="F2373" s="75" t="s">
        <v>1268</v>
      </c>
      <c r="G2373" s="75" t="s">
        <v>1267</v>
      </c>
    </row>
    <row r="2374" spans="1:7" x14ac:dyDescent="0.2">
      <c r="A2374" s="40">
        <v>9615</v>
      </c>
      <c r="B2374" s="39" t="s">
        <v>49</v>
      </c>
      <c r="C2374" s="40" t="s">
        <v>1476</v>
      </c>
      <c r="D2374" s="75" t="s">
        <v>1269</v>
      </c>
      <c r="E2374" s="75" t="s">
        <v>1266</v>
      </c>
      <c r="F2374" s="75" t="s">
        <v>1268</v>
      </c>
      <c r="G2374" s="75" t="s">
        <v>1267</v>
      </c>
    </row>
    <row r="2375" spans="1:7" x14ac:dyDescent="0.2">
      <c r="A2375" s="40">
        <v>9620</v>
      </c>
      <c r="B2375" s="39" t="s">
        <v>50</v>
      </c>
      <c r="C2375" s="40" t="s">
        <v>1476</v>
      </c>
      <c r="D2375" s="75" t="s">
        <v>1269</v>
      </c>
      <c r="E2375" s="75" t="s">
        <v>1266</v>
      </c>
      <c r="F2375" s="75" t="s">
        <v>1268</v>
      </c>
      <c r="G2375" s="75" t="s">
        <v>1268</v>
      </c>
    </row>
    <row r="2376" spans="1:7" x14ac:dyDescent="0.2">
      <c r="A2376" s="40">
        <v>9622</v>
      </c>
      <c r="B2376" s="39" t="s">
        <v>51</v>
      </c>
      <c r="C2376" s="40" t="s">
        <v>1476</v>
      </c>
      <c r="D2376" s="75" t="s">
        <v>1269</v>
      </c>
      <c r="E2376" s="75" t="s">
        <v>1266</v>
      </c>
      <c r="F2376" s="75" t="s">
        <v>1268</v>
      </c>
      <c r="G2376" s="75" t="s">
        <v>1267</v>
      </c>
    </row>
    <row r="2377" spans="1:7" x14ac:dyDescent="0.2">
      <c r="A2377" s="40">
        <v>9623</v>
      </c>
      <c r="B2377" s="39" t="s">
        <v>52</v>
      </c>
      <c r="C2377" s="40" t="s">
        <v>1476</v>
      </c>
      <c r="D2377" s="75" t="s">
        <v>1269</v>
      </c>
      <c r="E2377" s="75" t="s">
        <v>1266</v>
      </c>
      <c r="F2377" s="75" t="s">
        <v>1268</v>
      </c>
      <c r="G2377" s="75" t="s">
        <v>1268</v>
      </c>
    </row>
    <row r="2378" spans="1:7" x14ac:dyDescent="0.2">
      <c r="A2378" s="40">
        <v>9624</v>
      </c>
      <c r="B2378" s="39" t="s">
        <v>2463</v>
      </c>
      <c r="C2378" s="40" t="s">
        <v>1476</v>
      </c>
      <c r="D2378" s="75" t="s">
        <v>1269</v>
      </c>
      <c r="E2378" s="75" t="s">
        <v>1266</v>
      </c>
      <c r="F2378" s="75" t="s">
        <v>1268</v>
      </c>
      <c r="G2378" s="75" t="s">
        <v>1267</v>
      </c>
    </row>
    <row r="2379" spans="1:7" x14ac:dyDescent="0.2">
      <c r="A2379" s="40">
        <v>9631</v>
      </c>
      <c r="B2379" s="39" t="s">
        <v>53</v>
      </c>
      <c r="C2379" s="40" t="s">
        <v>1476</v>
      </c>
      <c r="D2379" s="75" t="s">
        <v>1269</v>
      </c>
      <c r="E2379" s="75" t="s">
        <v>1266</v>
      </c>
      <c r="F2379" s="75" t="s">
        <v>1268</v>
      </c>
      <c r="G2379" s="75" t="s">
        <v>1267</v>
      </c>
    </row>
    <row r="2380" spans="1:7" x14ac:dyDescent="0.2">
      <c r="A2380" s="40">
        <v>9632</v>
      </c>
      <c r="B2380" s="39" t="s">
        <v>54</v>
      </c>
      <c r="C2380" s="40" t="s">
        <v>1476</v>
      </c>
      <c r="D2380" s="75" t="s">
        <v>1269</v>
      </c>
      <c r="E2380" s="75" t="s">
        <v>1266</v>
      </c>
      <c r="F2380" s="75" t="s">
        <v>1268</v>
      </c>
      <c r="G2380" s="75" t="s">
        <v>1268</v>
      </c>
    </row>
    <row r="2381" spans="1:7" x14ac:dyDescent="0.2">
      <c r="A2381" s="40">
        <v>9633</v>
      </c>
      <c r="B2381" s="39" t="s">
        <v>55</v>
      </c>
      <c r="C2381" s="40" t="s">
        <v>1476</v>
      </c>
      <c r="D2381" s="75" t="s">
        <v>1269</v>
      </c>
      <c r="E2381" s="75" t="s">
        <v>1266</v>
      </c>
      <c r="F2381" s="75" t="s">
        <v>1268</v>
      </c>
      <c r="G2381" s="75" t="s">
        <v>1267</v>
      </c>
    </row>
    <row r="2382" spans="1:7" x14ac:dyDescent="0.2">
      <c r="A2382" s="40">
        <v>9634</v>
      </c>
      <c r="B2382" s="39" t="s">
        <v>56</v>
      </c>
      <c r="C2382" s="40" t="s">
        <v>1476</v>
      </c>
      <c r="D2382" s="75" t="s">
        <v>1269</v>
      </c>
      <c r="E2382" s="75" t="s">
        <v>1266</v>
      </c>
      <c r="F2382" s="75" t="s">
        <v>1268</v>
      </c>
      <c r="G2382" s="75" t="s">
        <v>1267</v>
      </c>
    </row>
    <row r="2383" spans="1:7" x14ac:dyDescent="0.2">
      <c r="A2383" s="40">
        <v>9635</v>
      </c>
      <c r="B2383" s="39" t="s">
        <v>57</v>
      </c>
      <c r="C2383" s="40" t="s">
        <v>1476</v>
      </c>
      <c r="D2383" s="75" t="s">
        <v>1269</v>
      </c>
      <c r="E2383" s="75" t="s">
        <v>1266</v>
      </c>
      <c r="F2383" s="75" t="s">
        <v>1268</v>
      </c>
      <c r="G2383" s="75" t="s">
        <v>1267</v>
      </c>
    </row>
    <row r="2384" spans="1:7" x14ac:dyDescent="0.2">
      <c r="A2384" s="40">
        <v>9640</v>
      </c>
      <c r="B2384" s="39" t="s">
        <v>58</v>
      </c>
      <c r="C2384" s="40" t="s">
        <v>1476</v>
      </c>
      <c r="D2384" s="75" t="s">
        <v>1269</v>
      </c>
      <c r="E2384" s="75" t="s">
        <v>1266</v>
      </c>
      <c r="F2384" s="75" t="s">
        <v>1268</v>
      </c>
      <c r="G2384" s="75" t="s">
        <v>1268</v>
      </c>
    </row>
    <row r="2385" spans="1:7" x14ac:dyDescent="0.2">
      <c r="A2385" s="40">
        <v>9651</v>
      </c>
      <c r="B2385" s="39" t="s">
        <v>59</v>
      </c>
      <c r="C2385" s="40" t="s">
        <v>1476</v>
      </c>
      <c r="D2385" s="75" t="s">
        <v>1269</v>
      </c>
      <c r="E2385" s="75" t="s">
        <v>1266</v>
      </c>
      <c r="F2385" s="75" t="s">
        <v>1268</v>
      </c>
      <c r="G2385" s="75" t="s">
        <v>1267</v>
      </c>
    </row>
    <row r="2386" spans="1:7" x14ac:dyDescent="0.2">
      <c r="A2386" s="40">
        <v>9652</v>
      </c>
      <c r="B2386" s="39" t="s">
        <v>60</v>
      </c>
      <c r="C2386" s="40" t="s">
        <v>1476</v>
      </c>
      <c r="D2386" s="75" t="s">
        <v>1269</v>
      </c>
      <c r="E2386" s="75" t="s">
        <v>1266</v>
      </c>
      <c r="F2386" s="75" t="s">
        <v>1268</v>
      </c>
      <c r="G2386" s="75" t="s">
        <v>1267</v>
      </c>
    </row>
    <row r="2387" spans="1:7" x14ac:dyDescent="0.2">
      <c r="A2387" s="40">
        <v>9653</v>
      </c>
      <c r="B2387" s="39" t="s">
        <v>61</v>
      </c>
      <c r="C2387" s="40" t="s">
        <v>1476</v>
      </c>
      <c r="D2387" s="75" t="s">
        <v>1269</v>
      </c>
      <c r="E2387" s="75" t="s">
        <v>1266</v>
      </c>
      <c r="F2387" s="75" t="s">
        <v>1268</v>
      </c>
      <c r="G2387" s="75" t="s">
        <v>1267</v>
      </c>
    </row>
    <row r="2388" spans="1:7" x14ac:dyDescent="0.2">
      <c r="A2388" s="40">
        <v>9654</v>
      </c>
      <c r="B2388" s="39" t="s">
        <v>264</v>
      </c>
      <c r="C2388" s="40" t="s">
        <v>1476</v>
      </c>
      <c r="D2388" s="75" t="s">
        <v>1269</v>
      </c>
      <c r="E2388" s="75" t="s">
        <v>1266</v>
      </c>
      <c r="F2388" s="75" t="s">
        <v>1268</v>
      </c>
      <c r="G2388" s="75" t="s">
        <v>1268</v>
      </c>
    </row>
    <row r="2389" spans="1:7" x14ac:dyDescent="0.2">
      <c r="A2389" s="40">
        <v>9655</v>
      </c>
      <c r="B2389" s="39" t="s">
        <v>62</v>
      </c>
      <c r="C2389" s="40" t="s">
        <v>1476</v>
      </c>
      <c r="D2389" s="75" t="s">
        <v>1269</v>
      </c>
      <c r="E2389" s="75" t="s">
        <v>1266</v>
      </c>
      <c r="F2389" s="75" t="s">
        <v>1268</v>
      </c>
      <c r="G2389" s="75" t="s">
        <v>1267</v>
      </c>
    </row>
    <row r="2390" spans="1:7" x14ac:dyDescent="0.2">
      <c r="A2390" s="40">
        <v>9701</v>
      </c>
      <c r="B2390" s="39" t="s">
        <v>63</v>
      </c>
      <c r="C2390" s="40" t="s">
        <v>1476</v>
      </c>
      <c r="D2390" s="75" t="s">
        <v>1269</v>
      </c>
      <c r="E2390" s="75" t="s">
        <v>1266</v>
      </c>
      <c r="F2390" s="75" t="s">
        <v>1268</v>
      </c>
      <c r="G2390" s="75" t="s">
        <v>1267</v>
      </c>
    </row>
    <row r="2391" spans="1:7" x14ac:dyDescent="0.2">
      <c r="A2391" s="40">
        <v>9702</v>
      </c>
      <c r="B2391" s="39" t="s">
        <v>64</v>
      </c>
      <c r="C2391" s="40" t="s">
        <v>1476</v>
      </c>
      <c r="D2391" s="75" t="s">
        <v>1269</v>
      </c>
      <c r="E2391" s="75" t="s">
        <v>1266</v>
      </c>
      <c r="F2391" s="75" t="s">
        <v>1268</v>
      </c>
      <c r="G2391" s="75" t="s">
        <v>1268</v>
      </c>
    </row>
    <row r="2392" spans="1:7" x14ac:dyDescent="0.2">
      <c r="A2392" s="40">
        <v>9710</v>
      </c>
      <c r="B2392" s="39" t="s">
        <v>65</v>
      </c>
      <c r="C2392" s="40" t="s">
        <v>1476</v>
      </c>
      <c r="D2392" s="75" t="s">
        <v>1269</v>
      </c>
      <c r="E2392" s="75" t="s">
        <v>1266</v>
      </c>
      <c r="F2392" s="75" t="s">
        <v>1268</v>
      </c>
      <c r="G2392" s="75" t="s">
        <v>1268</v>
      </c>
    </row>
    <row r="2393" spans="1:7" x14ac:dyDescent="0.2">
      <c r="A2393" s="40">
        <v>9711</v>
      </c>
      <c r="B2393" s="39" t="s">
        <v>66</v>
      </c>
      <c r="C2393" s="40" t="s">
        <v>1476</v>
      </c>
      <c r="D2393" s="75" t="s">
        <v>1269</v>
      </c>
      <c r="E2393" s="75" t="s">
        <v>1266</v>
      </c>
      <c r="F2393" s="75" t="s">
        <v>1268</v>
      </c>
      <c r="G2393" s="75" t="s">
        <v>1267</v>
      </c>
    </row>
    <row r="2394" spans="1:7" x14ac:dyDescent="0.2">
      <c r="A2394" s="40">
        <v>9712</v>
      </c>
      <c r="B2394" s="39" t="s">
        <v>67</v>
      </c>
      <c r="C2394" s="40" t="s">
        <v>1476</v>
      </c>
      <c r="D2394" s="75" t="s">
        <v>1269</v>
      </c>
      <c r="E2394" s="75" t="s">
        <v>1266</v>
      </c>
      <c r="F2394" s="75" t="s">
        <v>1268</v>
      </c>
      <c r="G2394" s="75" t="s">
        <v>1267</v>
      </c>
    </row>
    <row r="2395" spans="1:7" x14ac:dyDescent="0.2">
      <c r="A2395" s="40">
        <v>9713</v>
      </c>
      <c r="B2395" s="39" t="s">
        <v>68</v>
      </c>
      <c r="C2395" s="40" t="s">
        <v>1476</v>
      </c>
      <c r="D2395" s="75" t="s">
        <v>1269</v>
      </c>
      <c r="E2395" s="75" t="s">
        <v>1266</v>
      </c>
      <c r="F2395" s="75" t="s">
        <v>1268</v>
      </c>
      <c r="G2395" s="75" t="s">
        <v>1268</v>
      </c>
    </row>
    <row r="2396" spans="1:7" x14ac:dyDescent="0.2">
      <c r="A2396" s="40">
        <v>9714</v>
      </c>
      <c r="B2396" s="39" t="s">
        <v>69</v>
      </c>
      <c r="C2396" s="40" t="s">
        <v>1476</v>
      </c>
      <c r="D2396" s="75" t="s">
        <v>1269</v>
      </c>
      <c r="E2396" s="75" t="s">
        <v>1266</v>
      </c>
      <c r="F2396" s="75" t="s">
        <v>1268</v>
      </c>
      <c r="G2396" s="75" t="s">
        <v>1267</v>
      </c>
    </row>
    <row r="2397" spans="1:7" x14ac:dyDescent="0.2">
      <c r="A2397" s="40">
        <v>9721</v>
      </c>
      <c r="B2397" s="39" t="s">
        <v>70</v>
      </c>
      <c r="C2397" s="40" t="s">
        <v>1476</v>
      </c>
      <c r="D2397" s="75" t="s">
        <v>1269</v>
      </c>
      <c r="E2397" s="75" t="s">
        <v>1266</v>
      </c>
      <c r="F2397" s="75" t="s">
        <v>1268</v>
      </c>
      <c r="G2397" s="75" t="s">
        <v>1268</v>
      </c>
    </row>
    <row r="2398" spans="1:7" x14ac:dyDescent="0.2">
      <c r="A2398" s="40">
        <v>9722</v>
      </c>
      <c r="B2398" s="39" t="s">
        <v>71</v>
      </c>
      <c r="C2398" s="40" t="s">
        <v>1476</v>
      </c>
      <c r="D2398" s="75" t="s">
        <v>1269</v>
      </c>
      <c r="E2398" s="75" t="s">
        <v>1266</v>
      </c>
      <c r="F2398" s="75" t="s">
        <v>1268</v>
      </c>
      <c r="G2398" s="75" t="s">
        <v>1267</v>
      </c>
    </row>
    <row r="2399" spans="1:7" x14ac:dyDescent="0.2">
      <c r="A2399" s="40">
        <v>9751</v>
      </c>
      <c r="B2399" s="39" t="s">
        <v>72</v>
      </c>
      <c r="C2399" s="40" t="s">
        <v>1476</v>
      </c>
      <c r="D2399" s="75" t="s">
        <v>1269</v>
      </c>
      <c r="E2399" s="75" t="s">
        <v>1266</v>
      </c>
      <c r="F2399" s="75" t="s">
        <v>1268</v>
      </c>
      <c r="G2399" s="75" t="s">
        <v>1267</v>
      </c>
    </row>
    <row r="2400" spans="1:7" x14ac:dyDescent="0.2">
      <c r="A2400" s="40">
        <v>9753</v>
      </c>
      <c r="B2400" s="39" t="s">
        <v>73</v>
      </c>
      <c r="C2400" s="40" t="s">
        <v>1476</v>
      </c>
      <c r="D2400" s="75" t="s">
        <v>1269</v>
      </c>
      <c r="E2400" s="75" t="s">
        <v>1266</v>
      </c>
      <c r="F2400" s="75" t="s">
        <v>1268</v>
      </c>
      <c r="G2400" s="75" t="s">
        <v>1267</v>
      </c>
    </row>
    <row r="2401" spans="1:7" x14ac:dyDescent="0.2">
      <c r="A2401" s="40">
        <v>9754</v>
      </c>
      <c r="B2401" s="39" t="s">
        <v>74</v>
      </c>
      <c r="C2401" s="40" t="s">
        <v>1476</v>
      </c>
      <c r="D2401" s="75" t="s">
        <v>1269</v>
      </c>
      <c r="E2401" s="75" t="s">
        <v>1266</v>
      </c>
      <c r="F2401" s="75" t="s">
        <v>1268</v>
      </c>
      <c r="G2401" s="75" t="s">
        <v>1268</v>
      </c>
    </row>
    <row r="2402" spans="1:7" x14ac:dyDescent="0.2">
      <c r="A2402" s="40">
        <v>9761</v>
      </c>
      <c r="B2402" s="39" t="s">
        <v>75</v>
      </c>
      <c r="C2402" s="40" t="s">
        <v>1476</v>
      </c>
      <c r="D2402" s="75" t="s">
        <v>1269</v>
      </c>
      <c r="E2402" s="75" t="s">
        <v>1266</v>
      </c>
      <c r="F2402" s="75" t="s">
        <v>1268</v>
      </c>
      <c r="G2402" s="75" t="s">
        <v>1268</v>
      </c>
    </row>
    <row r="2403" spans="1:7" x14ac:dyDescent="0.2">
      <c r="A2403" s="40">
        <v>9762</v>
      </c>
      <c r="B2403" s="39" t="s">
        <v>76</v>
      </c>
      <c r="C2403" s="40" t="s">
        <v>1476</v>
      </c>
      <c r="D2403" s="75" t="s">
        <v>1269</v>
      </c>
      <c r="E2403" s="75" t="s">
        <v>1266</v>
      </c>
      <c r="F2403" s="75" t="s">
        <v>1268</v>
      </c>
      <c r="G2403" s="75" t="s">
        <v>1268</v>
      </c>
    </row>
    <row r="2404" spans="1:7" x14ac:dyDescent="0.2">
      <c r="A2404" s="40">
        <v>9771</v>
      </c>
      <c r="B2404" s="39" t="s">
        <v>77</v>
      </c>
      <c r="C2404" s="40" t="s">
        <v>1476</v>
      </c>
      <c r="D2404" s="75" t="s">
        <v>1269</v>
      </c>
      <c r="E2404" s="75" t="s">
        <v>1266</v>
      </c>
      <c r="F2404" s="75" t="s">
        <v>1268</v>
      </c>
      <c r="G2404" s="75" t="s">
        <v>1267</v>
      </c>
    </row>
    <row r="2405" spans="1:7" x14ac:dyDescent="0.2">
      <c r="A2405" s="40">
        <v>9772</v>
      </c>
      <c r="B2405" s="39" t="s">
        <v>57</v>
      </c>
      <c r="C2405" s="40" t="s">
        <v>1476</v>
      </c>
      <c r="D2405" s="75" t="s">
        <v>1269</v>
      </c>
      <c r="E2405" s="75" t="s">
        <v>1266</v>
      </c>
      <c r="F2405" s="75" t="s">
        <v>1268</v>
      </c>
      <c r="G2405" s="75" t="s">
        <v>1268</v>
      </c>
    </row>
    <row r="2406" spans="1:7" x14ac:dyDescent="0.2">
      <c r="A2406" s="40">
        <v>9773</v>
      </c>
      <c r="B2406" s="39" t="s">
        <v>78</v>
      </c>
      <c r="C2406" s="40" t="s">
        <v>1476</v>
      </c>
      <c r="D2406" s="75" t="s">
        <v>1269</v>
      </c>
      <c r="E2406" s="75" t="s">
        <v>1266</v>
      </c>
      <c r="F2406" s="75" t="s">
        <v>1268</v>
      </c>
      <c r="G2406" s="75" t="s">
        <v>1267</v>
      </c>
    </row>
    <row r="2407" spans="1:7" x14ac:dyDescent="0.2">
      <c r="A2407" s="40">
        <v>9781</v>
      </c>
      <c r="B2407" s="39" t="s">
        <v>79</v>
      </c>
      <c r="C2407" s="40" t="s">
        <v>1476</v>
      </c>
      <c r="D2407" s="75" t="s">
        <v>1269</v>
      </c>
      <c r="E2407" s="75" t="s">
        <v>1266</v>
      </c>
      <c r="F2407" s="75" t="s">
        <v>1268</v>
      </c>
      <c r="G2407" s="75" t="s">
        <v>1268</v>
      </c>
    </row>
    <row r="2408" spans="1:7" x14ac:dyDescent="0.2">
      <c r="A2408" s="40">
        <v>9782</v>
      </c>
      <c r="B2408" s="39" t="s">
        <v>80</v>
      </c>
      <c r="C2408" s="40" t="s">
        <v>871</v>
      </c>
      <c r="D2408" s="75" t="s">
        <v>1269</v>
      </c>
      <c r="E2408" s="75" t="s">
        <v>1266</v>
      </c>
      <c r="F2408" s="75" t="s">
        <v>1268</v>
      </c>
      <c r="G2408" s="75" t="s">
        <v>1267</v>
      </c>
    </row>
    <row r="2409" spans="1:7" x14ac:dyDescent="0.2">
      <c r="A2409" s="40">
        <v>9800</v>
      </c>
      <c r="B2409" s="39" t="s">
        <v>1575</v>
      </c>
      <c r="C2409" s="40" t="s">
        <v>1476</v>
      </c>
      <c r="D2409" s="75" t="s">
        <v>1269</v>
      </c>
      <c r="E2409" s="75" t="s">
        <v>1266</v>
      </c>
      <c r="F2409" s="75" t="s">
        <v>1268</v>
      </c>
      <c r="G2409" s="75" t="s">
        <v>1268</v>
      </c>
    </row>
    <row r="2410" spans="1:7" x14ac:dyDescent="0.2">
      <c r="A2410" s="40">
        <v>9802</v>
      </c>
      <c r="B2410" s="39" t="s">
        <v>1575</v>
      </c>
      <c r="C2410" s="40" t="s">
        <v>1476</v>
      </c>
      <c r="D2410" s="75" t="s">
        <v>1271</v>
      </c>
      <c r="E2410" s="75" t="s">
        <v>1266</v>
      </c>
      <c r="F2410" s="75" t="s">
        <v>1267</v>
      </c>
      <c r="G2410" s="75" t="s">
        <v>1268</v>
      </c>
    </row>
    <row r="2411" spans="1:7" x14ac:dyDescent="0.2">
      <c r="A2411" s="40">
        <v>9803</v>
      </c>
      <c r="B2411" s="39" t="s">
        <v>1575</v>
      </c>
      <c r="C2411" s="40" t="s">
        <v>1476</v>
      </c>
      <c r="D2411" s="75" t="s">
        <v>1271</v>
      </c>
      <c r="E2411" s="75" t="s">
        <v>1266</v>
      </c>
      <c r="F2411" s="75" t="s">
        <v>1267</v>
      </c>
      <c r="G2411" s="75" t="s">
        <v>1268</v>
      </c>
    </row>
    <row r="2412" spans="1:7" x14ac:dyDescent="0.2">
      <c r="A2412" s="40">
        <v>9805</v>
      </c>
      <c r="B2412" s="39" t="s">
        <v>1576</v>
      </c>
      <c r="C2412" s="40" t="s">
        <v>1476</v>
      </c>
      <c r="D2412" s="75" t="s">
        <v>1269</v>
      </c>
      <c r="E2412" s="75" t="s">
        <v>1266</v>
      </c>
      <c r="F2412" s="75" t="s">
        <v>1268</v>
      </c>
      <c r="G2412" s="75" t="s">
        <v>1267</v>
      </c>
    </row>
    <row r="2413" spans="1:7" x14ac:dyDescent="0.2">
      <c r="A2413" s="40">
        <v>9811</v>
      </c>
      <c r="B2413" s="39" t="s">
        <v>1577</v>
      </c>
      <c r="C2413" s="40" t="s">
        <v>1476</v>
      </c>
      <c r="D2413" s="75" t="s">
        <v>1269</v>
      </c>
      <c r="E2413" s="75" t="s">
        <v>1266</v>
      </c>
      <c r="F2413" s="75" t="s">
        <v>1268</v>
      </c>
      <c r="G2413" s="75" t="s">
        <v>1267</v>
      </c>
    </row>
    <row r="2414" spans="1:7" x14ac:dyDescent="0.2">
      <c r="A2414" s="40">
        <v>9812</v>
      </c>
      <c r="B2414" s="39" t="s">
        <v>1578</v>
      </c>
      <c r="C2414" s="40" t="s">
        <v>1476</v>
      </c>
      <c r="D2414" s="75" t="s">
        <v>1269</v>
      </c>
      <c r="E2414" s="75" t="s">
        <v>1266</v>
      </c>
      <c r="F2414" s="75" t="s">
        <v>1268</v>
      </c>
      <c r="G2414" s="75" t="s">
        <v>1267</v>
      </c>
    </row>
    <row r="2415" spans="1:7" x14ac:dyDescent="0.2">
      <c r="A2415" s="40">
        <v>9813</v>
      </c>
      <c r="B2415" s="39" t="s">
        <v>1579</v>
      </c>
      <c r="C2415" s="40" t="s">
        <v>1476</v>
      </c>
      <c r="D2415" s="75" t="s">
        <v>1269</v>
      </c>
      <c r="E2415" s="75" t="s">
        <v>1266</v>
      </c>
      <c r="F2415" s="75" t="s">
        <v>1268</v>
      </c>
      <c r="G2415" s="75" t="s">
        <v>1268</v>
      </c>
    </row>
    <row r="2416" spans="1:7" x14ac:dyDescent="0.2">
      <c r="A2416" s="40">
        <v>9814</v>
      </c>
      <c r="B2416" s="39" t="s">
        <v>541</v>
      </c>
      <c r="C2416" s="40" t="s">
        <v>1476</v>
      </c>
      <c r="D2416" s="75" t="s">
        <v>1269</v>
      </c>
      <c r="E2416" s="75" t="s">
        <v>1266</v>
      </c>
      <c r="F2416" s="75" t="s">
        <v>1268</v>
      </c>
      <c r="G2416" s="75" t="s">
        <v>1267</v>
      </c>
    </row>
    <row r="2417" spans="1:7" x14ac:dyDescent="0.2">
      <c r="A2417" s="40">
        <v>9815</v>
      </c>
      <c r="B2417" s="39" t="s">
        <v>1580</v>
      </c>
      <c r="C2417" s="40" t="s">
        <v>1476</v>
      </c>
      <c r="D2417" s="75" t="s">
        <v>1269</v>
      </c>
      <c r="E2417" s="75" t="s">
        <v>1266</v>
      </c>
      <c r="F2417" s="75" t="s">
        <v>1268</v>
      </c>
      <c r="G2417" s="75" t="s">
        <v>1268</v>
      </c>
    </row>
    <row r="2418" spans="1:7" x14ac:dyDescent="0.2">
      <c r="A2418" s="40">
        <v>9816</v>
      </c>
      <c r="B2418" s="39" t="s">
        <v>1581</v>
      </c>
      <c r="C2418" s="40" t="s">
        <v>1476</v>
      </c>
      <c r="D2418" s="75" t="s">
        <v>1269</v>
      </c>
      <c r="E2418" s="75" t="s">
        <v>1266</v>
      </c>
      <c r="F2418" s="75" t="s">
        <v>1268</v>
      </c>
      <c r="G2418" s="75" t="s">
        <v>1267</v>
      </c>
    </row>
    <row r="2419" spans="1:7" x14ac:dyDescent="0.2">
      <c r="A2419" s="40">
        <v>9821</v>
      </c>
      <c r="B2419" s="39" t="s">
        <v>95</v>
      </c>
      <c r="C2419" s="40" t="s">
        <v>1476</v>
      </c>
      <c r="D2419" s="75" t="s">
        <v>1269</v>
      </c>
      <c r="E2419" s="75" t="s">
        <v>1266</v>
      </c>
      <c r="F2419" s="75" t="s">
        <v>1268</v>
      </c>
      <c r="G2419" s="75" t="s">
        <v>1268</v>
      </c>
    </row>
    <row r="2420" spans="1:7" x14ac:dyDescent="0.2">
      <c r="A2420" s="40">
        <v>9822</v>
      </c>
      <c r="B2420" s="39" t="s">
        <v>1582</v>
      </c>
      <c r="C2420" s="40" t="s">
        <v>1476</v>
      </c>
      <c r="D2420" s="75" t="s">
        <v>1269</v>
      </c>
      <c r="E2420" s="75" t="s">
        <v>1266</v>
      </c>
      <c r="F2420" s="75" t="s">
        <v>1268</v>
      </c>
      <c r="G2420" s="75" t="s">
        <v>1267</v>
      </c>
    </row>
    <row r="2421" spans="1:7" x14ac:dyDescent="0.2">
      <c r="A2421" s="40">
        <v>9831</v>
      </c>
      <c r="B2421" s="39" t="s">
        <v>1583</v>
      </c>
      <c r="C2421" s="40" t="s">
        <v>1476</v>
      </c>
      <c r="D2421" s="75" t="s">
        <v>1269</v>
      </c>
      <c r="E2421" s="75" t="s">
        <v>1266</v>
      </c>
      <c r="F2421" s="75" t="s">
        <v>1268</v>
      </c>
      <c r="G2421" s="75" t="s">
        <v>1267</v>
      </c>
    </row>
    <row r="2422" spans="1:7" x14ac:dyDescent="0.2">
      <c r="A2422" s="40">
        <v>9832</v>
      </c>
      <c r="B2422" s="39" t="s">
        <v>1584</v>
      </c>
      <c r="C2422" s="40" t="s">
        <v>1476</v>
      </c>
      <c r="D2422" s="75" t="s">
        <v>1269</v>
      </c>
      <c r="E2422" s="75" t="s">
        <v>1266</v>
      </c>
      <c r="F2422" s="75" t="s">
        <v>1268</v>
      </c>
      <c r="G2422" s="75" t="s">
        <v>1268</v>
      </c>
    </row>
    <row r="2423" spans="1:7" x14ac:dyDescent="0.2">
      <c r="A2423" s="40">
        <v>9833</v>
      </c>
      <c r="B2423" s="39" t="s">
        <v>1585</v>
      </c>
      <c r="C2423" s="40" t="s">
        <v>1476</v>
      </c>
      <c r="D2423" s="75" t="s">
        <v>1269</v>
      </c>
      <c r="E2423" s="75" t="s">
        <v>1266</v>
      </c>
      <c r="F2423" s="75" t="s">
        <v>1268</v>
      </c>
      <c r="G2423" s="75" t="s">
        <v>1267</v>
      </c>
    </row>
    <row r="2424" spans="1:7" x14ac:dyDescent="0.2">
      <c r="A2424" s="40">
        <v>9841</v>
      </c>
      <c r="B2424" s="39" t="s">
        <v>1586</v>
      </c>
      <c r="C2424" s="40" t="s">
        <v>1476</v>
      </c>
      <c r="D2424" s="75" t="s">
        <v>1269</v>
      </c>
      <c r="E2424" s="75" t="s">
        <v>1266</v>
      </c>
      <c r="F2424" s="75" t="s">
        <v>1268</v>
      </c>
      <c r="G2424" s="75" t="s">
        <v>1268</v>
      </c>
    </row>
    <row r="2425" spans="1:7" x14ac:dyDescent="0.2">
      <c r="A2425" s="40">
        <v>9842</v>
      </c>
      <c r="B2425" s="39" t="s">
        <v>1587</v>
      </c>
      <c r="C2425" s="40" t="s">
        <v>1476</v>
      </c>
      <c r="D2425" s="75" t="s">
        <v>1269</v>
      </c>
      <c r="E2425" s="75" t="s">
        <v>1266</v>
      </c>
      <c r="F2425" s="75" t="s">
        <v>1268</v>
      </c>
      <c r="G2425" s="75" t="s">
        <v>1267</v>
      </c>
    </row>
    <row r="2426" spans="1:7" x14ac:dyDescent="0.2">
      <c r="A2426" s="40">
        <v>9843</v>
      </c>
      <c r="B2426" s="39" t="s">
        <v>1588</v>
      </c>
      <c r="C2426" s="40" t="s">
        <v>1476</v>
      </c>
      <c r="D2426" s="75" t="s">
        <v>1269</v>
      </c>
      <c r="E2426" s="75" t="s">
        <v>1266</v>
      </c>
      <c r="F2426" s="75" t="s">
        <v>1268</v>
      </c>
      <c r="G2426" s="75" t="s">
        <v>1268</v>
      </c>
    </row>
    <row r="2427" spans="1:7" x14ac:dyDescent="0.2">
      <c r="A2427" s="40">
        <v>9844</v>
      </c>
      <c r="B2427" s="39" t="s">
        <v>1589</v>
      </c>
      <c r="C2427" s="40" t="s">
        <v>1476</v>
      </c>
      <c r="D2427" s="75" t="s">
        <v>1269</v>
      </c>
      <c r="E2427" s="75" t="s">
        <v>1266</v>
      </c>
      <c r="F2427" s="75" t="s">
        <v>1268</v>
      </c>
      <c r="G2427" s="75" t="s">
        <v>1267</v>
      </c>
    </row>
    <row r="2428" spans="1:7" x14ac:dyDescent="0.2">
      <c r="A2428" s="40">
        <v>9851</v>
      </c>
      <c r="B2428" s="39" t="s">
        <v>1590</v>
      </c>
      <c r="C2428" s="40" t="s">
        <v>1476</v>
      </c>
      <c r="D2428" s="75" t="s">
        <v>1269</v>
      </c>
      <c r="E2428" s="75" t="s">
        <v>1266</v>
      </c>
      <c r="F2428" s="75" t="s">
        <v>1268</v>
      </c>
      <c r="G2428" s="75" t="s">
        <v>1267</v>
      </c>
    </row>
    <row r="2429" spans="1:7" x14ac:dyDescent="0.2">
      <c r="A2429" s="40">
        <v>9852</v>
      </c>
      <c r="B2429" s="39" t="s">
        <v>1591</v>
      </c>
      <c r="C2429" s="40" t="s">
        <v>1476</v>
      </c>
      <c r="D2429" s="75" t="s">
        <v>1269</v>
      </c>
      <c r="E2429" s="75" t="s">
        <v>1266</v>
      </c>
      <c r="F2429" s="75" t="s">
        <v>1268</v>
      </c>
      <c r="G2429" s="75" t="s">
        <v>1267</v>
      </c>
    </row>
    <row r="2430" spans="1:7" x14ac:dyDescent="0.2">
      <c r="A2430" s="40">
        <v>9853</v>
      </c>
      <c r="B2430" s="39" t="s">
        <v>638</v>
      </c>
      <c r="C2430" s="40" t="s">
        <v>1476</v>
      </c>
      <c r="D2430" s="75" t="s">
        <v>1269</v>
      </c>
      <c r="E2430" s="75" t="s">
        <v>1266</v>
      </c>
      <c r="F2430" s="75" t="s">
        <v>1268</v>
      </c>
      <c r="G2430" s="75" t="s">
        <v>1268</v>
      </c>
    </row>
    <row r="2431" spans="1:7" x14ac:dyDescent="0.2">
      <c r="A2431" s="40">
        <v>9854</v>
      </c>
      <c r="B2431" s="39" t="s">
        <v>1592</v>
      </c>
      <c r="C2431" s="40" t="s">
        <v>1476</v>
      </c>
      <c r="D2431" s="75" t="s">
        <v>1269</v>
      </c>
      <c r="E2431" s="75" t="s">
        <v>1266</v>
      </c>
      <c r="F2431" s="75" t="s">
        <v>1268</v>
      </c>
      <c r="G2431" s="75" t="s">
        <v>1267</v>
      </c>
    </row>
    <row r="2432" spans="1:7" x14ac:dyDescent="0.2">
      <c r="A2432" s="40">
        <v>9861</v>
      </c>
      <c r="B2432" s="39" t="s">
        <v>1593</v>
      </c>
      <c r="C2432" s="40" t="s">
        <v>1476</v>
      </c>
      <c r="D2432" s="75" t="s">
        <v>1269</v>
      </c>
      <c r="E2432" s="75" t="s">
        <v>1266</v>
      </c>
      <c r="F2432" s="75" t="s">
        <v>1268</v>
      </c>
      <c r="G2432" s="75" t="s">
        <v>1267</v>
      </c>
    </row>
    <row r="2433" spans="1:7" x14ac:dyDescent="0.2">
      <c r="A2433" s="40">
        <v>9862</v>
      </c>
      <c r="B2433" s="39" t="s">
        <v>1594</v>
      </c>
      <c r="C2433" s="40" t="s">
        <v>1476</v>
      </c>
      <c r="D2433" s="75" t="s">
        <v>1269</v>
      </c>
      <c r="E2433" s="75" t="s">
        <v>1266</v>
      </c>
      <c r="F2433" s="75" t="s">
        <v>1268</v>
      </c>
      <c r="G2433" s="75" t="s">
        <v>1267</v>
      </c>
    </row>
    <row r="2434" spans="1:7" x14ac:dyDescent="0.2">
      <c r="A2434" s="40">
        <v>9863</v>
      </c>
      <c r="B2434" s="39" t="s">
        <v>1595</v>
      </c>
      <c r="C2434" s="40" t="s">
        <v>1476</v>
      </c>
      <c r="D2434" s="75" t="s">
        <v>1269</v>
      </c>
      <c r="E2434" s="75" t="s">
        <v>1266</v>
      </c>
      <c r="F2434" s="75" t="s">
        <v>1268</v>
      </c>
      <c r="G2434" s="75" t="s">
        <v>1268</v>
      </c>
    </row>
    <row r="2435" spans="1:7" x14ac:dyDescent="0.2">
      <c r="A2435" s="40">
        <v>9871</v>
      </c>
      <c r="B2435" s="39" t="s">
        <v>1596</v>
      </c>
      <c r="C2435" s="40" t="s">
        <v>1476</v>
      </c>
      <c r="D2435" s="75" t="s">
        <v>1269</v>
      </c>
      <c r="E2435" s="75" t="s">
        <v>1266</v>
      </c>
      <c r="F2435" s="75" t="s">
        <v>1268</v>
      </c>
      <c r="G2435" s="75" t="s">
        <v>1268</v>
      </c>
    </row>
    <row r="2436" spans="1:7" x14ac:dyDescent="0.2">
      <c r="A2436" s="40">
        <v>9872</v>
      </c>
      <c r="B2436" s="39" t="s">
        <v>219</v>
      </c>
      <c r="C2436" s="40" t="s">
        <v>1476</v>
      </c>
      <c r="D2436" s="75" t="s">
        <v>1269</v>
      </c>
      <c r="E2436" s="75" t="s">
        <v>1266</v>
      </c>
      <c r="F2436" s="75" t="s">
        <v>1268</v>
      </c>
      <c r="G2436" s="75" t="s">
        <v>1268</v>
      </c>
    </row>
    <row r="2437" spans="1:7" x14ac:dyDescent="0.2">
      <c r="A2437" s="40">
        <v>9873</v>
      </c>
      <c r="B2437" s="39" t="s">
        <v>1597</v>
      </c>
      <c r="C2437" s="40" t="s">
        <v>1476</v>
      </c>
      <c r="D2437" s="75" t="s">
        <v>1269</v>
      </c>
      <c r="E2437" s="75" t="s">
        <v>1266</v>
      </c>
      <c r="F2437" s="75" t="s">
        <v>1268</v>
      </c>
      <c r="G2437" s="75" t="s">
        <v>1267</v>
      </c>
    </row>
    <row r="2438" spans="1:7" x14ac:dyDescent="0.2">
      <c r="A2438" s="40">
        <v>9900</v>
      </c>
      <c r="B2438" s="39" t="s">
        <v>211</v>
      </c>
      <c r="C2438" s="40" t="s">
        <v>871</v>
      </c>
      <c r="D2438" s="75" t="s">
        <v>1269</v>
      </c>
      <c r="E2438" s="75" t="s">
        <v>1266</v>
      </c>
      <c r="F2438" s="75" t="s">
        <v>1268</v>
      </c>
      <c r="G2438" s="75" t="s">
        <v>1268</v>
      </c>
    </row>
    <row r="2439" spans="1:7" x14ac:dyDescent="0.2">
      <c r="A2439" s="40">
        <v>9904</v>
      </c>
      <c r="B2439" s="39" t="s">
        <v>1598</v>
      </c>
      <c r="C2439" s="40" t="s">
        <v>871</v>
      </c>
      <c r="D2439" s="75" t="s">
        <v>1269</v>
      </c>
      <c r="E2439" s="75" t="s">
        <v>1266</v>
      </c>
      <c r="F2439" s="75" t="s">
        <v>1268</v>
      </c>
      <c r="G2439" s="75" t="s">
        <v>1267</v>
      </c>
    </row>
    <row r="2440" spans="1:7" x14ac:dyDescent="0.2">
      <c r="A2440" s="40">
        <v>9911</v>
      </c>
      <c r="B2440" s="39" t="s">
        <v>1599</v>
      </c>
      <c r="C2440" s="40" t="s">
        <v>871</v>
      </c>
      <c r="D2440" s="75" t="s">
        <v>1269</v>
      </c>
      <c r="E2440" s="75" t="s">
        <v>1266</v>
      </c>
      <c r="F2440" s="75" t="s">
        <v>1268</v>
      </c>
      <c r="G2440" s="75" t="s">
        <v>1268</v>
      </c>
    </row>
    <row r="2441" spans="1:7" x14ac:dyDescent="0.2">
      <c r="A2441" s="40">
        <v>9912</v>
      </c>
      <c r="B2441" s="39" t="s">
        <v>1600</v>
      </c>
      <c r="C2441" s="40" t="s">
        <v>871</v>
      </c>
      <c r="D2441" s="75" t="s">
        <v>1269</v>
      </c>
      <c r="E2441" s="75" t="s">
        <v>1266</v>
      </c>
      <c r="F2441" s="75" t="s">
        <v>1268</v>
      </c>
      <c r="G2441" s="75" t="s">
        <v>1267</v>
      </c>
    </row>
    <row r="2442" spans="1:7" x14ac:dyDescent="0.2">
      <c r="A2442" s="40">
        <v>9913</v>
      </c>
      <c r="B2442" s="39" t="s">
        <v>1601</v>
      </c>
      <c r="C2442" s="40" t="s">
        <v>871</v>
      </c>
      <c r="D2442" s="75" t="s">
        <v>1269</v>
      </c>
      <c r="E2442" s="75" t="s">
        <v>1266</v>
      </c>
      <c r="F2442" s="75" t="s">
        <v>1268</v>
      </c>
      <c r="G2442" s="75" t="s">
        <v>1268</v>
      </c>
    </row>
    <row r="2443" spans="1:7" x14ac:dyDescent="0.2">
      <c r="A2443" s="40">
        <v>9920</v>
      </c>
      <c r="B2443" s="39" t="s">
        <v>1602</v>
      </c>
      <c r="C2443" s="40" t="s">
        <v>871</v>
      </c>
      <c r="D2443" s="75" t="s">
        <v>1269</v>
      </c>
      <c r="E2443" s="75" t="s">
        <v>1266</v>
      </c>
      <c r="F2443" s="75" t="s">
        <v>1268</v>
      </c>
      <c r="G2443" s="75" t="s">
        <v>1268</v>
      </c>
    </row>
    <row r="2444" spans="1:7" x14ac:dyDescent="0.2">
      <c r="A2444" s="40">
        <v>9931</v>
      </c>
      <c r="B2444" s="39" t="s">
        <v>1603</v>
      </c>
      <c r="C2444" s="40" t="s">
        <v>871</v>
      </c>
      <c r="D2444" s="75" t="s">
        <v>1269</v>
      </c>
      <c r="E2444" s="75" t="s">
        <v>1266</v>
      </c>
      <c r="F2444" s="75" t="s">
        <v>1268</v>
      </c>
      <c r="G2444" s="75" t="s">
        <v>1267</v>
      </c>
    </row>
    <row r="2445" spans="1:7" x14ac:dyDescent="0.2">
      <c r="A2445" s="40">
        <v>9932</v>
      </c>
      <c r="B2445" s="39" t="s">
        <v>1604</v>
      </c>
      <c r="C2445" s="40" t="s">
        <v>871</v>
      </c>
      <c r="D2445" s="75" t="s">
        <v>1269</v>
      </c>
      <c r="E2445" s="75" t="s">
        <v>1266</v>
      </c>
      <c r="F2445" s="75" t="s">
        <v>1268</v>
      </c>
      <c r="G2445" s="75" t="s">
        <v>1268</v>
      </c>
    </row>
    <row r="2446" spans="1:7" x14ac:dyDescent="0.2">
      <c r="A2446" s="40">
        <v>9941</v>
      </c>
      <c r="B2446" s="39" t="s">
        <v>1605</v>
      </c>
      <c r="C2446" s="40" t="s">
        <v>871</v>
      </c>
      <c r="D2446" s="75" t="s">
        <v>1269</v>
      </c>
      <c r="E2446" s="75" t="s">
        <v>1266</v>
      </c>
      <c r="F2446" s="75" t="s">
        <v>1268</v>
      </c>
      <c r="G2446" s="75" t="s">
        <v>1268</v>
      </c>
    </row>
    <row r="2447" spans="1:7" x14ac:dyDescent="0.2">
      <c r="A2447" s="40">
        <v>9942</v>
      </c>
      <c r="B2447" s="39" t="s">
        <v>1606</v>
      </c>
      <c r="C2447" s="40" t="s">
        <v>871</v>
      </c>
      <c r="D2447" s="75" t="s">
        <v>1269</v>
      </c>
      <c r="E2447" s="75" t="s">
        <v>1266</v>
      </c>
      <c r="F2447" s="75" t="s">
        <v>1268</v>
      </c>
      <c r="G2447" s="75" t="s">
        <v>1267</v>
      </c>
    </row>
    <row r="2448" spans="1:7" x14ac:dyDescent="0.2">
      <c r="A2448" s="40">
        <v>9943</v>
      </c>
      <c r="B2448" s="39" t="s">
        <v>1607</v>
      </c>
      <c r="C2448" s="40" t="s">
        <v>871</v>
      </c>
      <c r="D2448" s="75" t="s">
        <v>1269</v>
      </c>
      <c r="E2448" s="75" t="s">
        <v>1266</v>
      </c>
      <c r="F2448" s="75" t="s">
        <v>1268</v>
      </c>
      <c r="G2448" s="75" t="s">
        <v>1267</v>
      </c>
    </row>
    <row r="2449" spans="1:7" x14ac:dyDescent="0.2">
      <c r="A2449" s="40">
        <v>9951</v>
      </c>
      <c r="B2449" s="39" t="s">
        <v>1608</v>
      </c>
      <c r="C2449" s="40" t="s">
        <v>871</v>
      </c>
      <c r="D2449" s="75" t="s">
        <v>1269</v>
      </c>
      <c r="E2449" s="75" t="s">
        <v>1266</v>
      </c>
      <c r="F2449" s="75" t="s">
        <v>1268</v>
      </c>
      <c r="G2449" s="75" t="s">
        <v>1268</v>
      </c>
    </row>
    <row r="2450" spans="1:7" x14ac:dyDescent="0.2">
      <c r="A2450" s="40">
        <v>9953</v>
      </c>
      <c r="B2450" s="39" t="s">
        <v>1609</v>
      </c>
      <c r="C2450" s="40" t="s">
        <v>871</v>
      </c>
      <c r="D2450" s="75" t="s">
        <v>417</v>
      </c>
      <c r="E2450" s="75" t="s">
        <v>418</v>
      </c>
      <c r="F2450" s="75" t="s">
        <v>1267</v>
      </c>
      <c r="G2450" s="75" t="s">
        <v>1267</v>
      </c>
    </row>
    <row r="2451" spans="1:7" x14ac:dyDescent="0.2">
      <c r="A2451" s="40">
        <v>9954</v>
      </c>
      <c r="B2451" s="39" t="s">
        <v>1610</v>
      </c>
      <c r="C2451" s="40" t="s">
        <v>871</v>
      </c>
      <c r="D2451" s="75" t="s">
        <v>1269</v>
      </c>
      <c r="E2451" s="75" t="s">
        <v>1266</v>
      </c>
      <c r="F2451" s="75" t="s">
        <v>1268</v>
      </c>
      <c r="G2451" s="75" t="s">
        <v>1267</v>
      </c>
    </row>
    <row r="2452" spans="1:7" x14ac:dyDescent="0.2">
      <c r="A2452" s="40">
        <v>9961</v>
      </c>
      <c r="B2452" s="39" t="s">
        <v>1611</v>
      </c>
      <c r="C2452" s="40" t="s">
        <v>871</v>
      </c>
      <c r="D2452" s="75" t="s">
        <v>1269</v>
      </c>
      <c r="E2452" s="75" t="s">
        <v>1266</v>
      </c>
      <c r="F2452" s="75" t="s">
        <v>1268</v>
      </c>
      <c r="G2452" s="75" t="s">
        <v>1267</v>
      </c>
    </row>
    <row r="2453" spans="1:7" x14ac:dyDescent="0.2">
      <c r="A2453" s="40">
        <v>9962</v>
      </c>
      <c r="B2453" s="39" t="s">
        <v>1612</v>
      </c>
      <c r="C2453" s="40" t="s">
        <v>871</v>
      </c>
      <c r="D2453" s="75" t="s">
        <v>1269</v>
      </c>
      <c r="E2453" s="75" t="s">
        <v>1266</v>
      </c>
      <c r="F2453" s="75" t="s">
        <v>1268</v>
      </c>
      <c r="G2453" s="75" t="s">
        <v>1267</v>
      </c>
    </row>
    <row r="2454" spans="1:7" x14ac:dyDescent="0.2">
      <c r="A2454" s="40">
        <v>9963</v>
      </c>
      <c r="B2454" s="39" t="s">
        <v>1613</v>
      </c>
      <c r="C2454" s="40" t="s">
        <v>871</v>
      </c>
      <c r="D2454" s="75" t="s">
        <v>1269</v>
      </c>
      <c r="E2454" s="75" t="s">
        <v>1266</v>
      </c>
      <c r="F2454" s="75" t="s">
        <v>1268</v>
      </c>
      <c r="G2454" s="75" t="s">
        <v>1268</v>
      </c>
    </row>
    <row r="2455" spans="1:7" x14ac:dyDescent="0.2">
      <c r="A2455" s="40">
        <v>9971</v>
      </c>
      <c r="B2455" s="39" t="s">
        <v>1614</v>
      </c>
      <c r="C2455" s="40" t="s">
        <v>871</v>
      </c>
      <c r="D2455" s="75" t="s">
        <v>1269</v>
      </c>
      <c r="E2455" s="75" t="s">
        <v>1266</v>
      </c>
      <c r="F2455" s="75" t="s">
        <v>1268</v>
      </c>
      <c r="G2455" s="75" t="s">
        <v>1268</v>
      </c>
    </row>
    <row r="2456" spans="1:7" x14ac:dyDescent="0.2">
      <c r="A2456" s="40">
        <v>9972</v>
      </c>
      <c r="B2456" s="39" t="s">
        <v>1615</v>
      </c>
      <c r="C2456" s="40" t="s">
        <v>871</v>
      </c>
      <c r="D2456" s="75" t="s">
        <v>1269</v>
      </c>
      <c r="E2456" s="75" t="s">
        <v>1266</v>
      </c>
      <c r="F2456" s="75" t="s">
        <v>1268</v>
      </c>
      <c r="G2456" s="75" t="s">
        <v>1267</v>
      </c>
    </row>
    <row r="2457" spans="1:7" x14ac:dyDescent="0.2">
      <c r="A2457" s="40">
        <v>9974</v>
      </c>
      <c r="B2457" s="39" t="s">
        <v>1616</v>
      </c>
      <c r="C2457" s="40" t="s">
        <v>871</v>
      </c>
      <c r="D2457" s="75" t="s">
        <v>1269</v>
      </c>
      <c r="E2457" s="75" t="s">
        <v>1266</v>
      </c>
      <c r="F2457" s="75" t="s">
        <v>1268</v>
      </c>
      <c r="G2457" s="75" t="s">
        <v>1267</v>
      </c>
    </row>
    <row r="2458" spans="1:7" x14ac:dyDescent="0.2">
      <c r="A2458" s="40">
        <v>9981</v>
      </c>
      <c r="B2458" s="39" t="s">
        <v>1617</v>
      </c>
      <c r="C2458" s="40" t="s">
        <v>871</v>
      </c>
      <c r="D2458" s="75" t="s">
        <v>1269</v>
      </c>
      <c r="E2458" s="75" t="s">
        <v>1266</v>
      </c>
      <c r="F2458" s="75" t="s">
        <v>1268</v>
      </c>
      <c r="G2458" s="75" t="s">
        <v>1268</v>
      </c>
    </row>
    <row r="2459" spans="1:7" x14ac:dyDescent="0.2">
      <c r="A2459" s="40">
        <v>9990</v>
      </c>
      <c r="B2459" s="39" t="s">
        <v>1618</v>
      </c>
      <c r="C2459" s="40" t="s">
        <v>871</v>
      </c>
      <c r="D2459" s="75" t="s">
        <v>1269</v>
      </c>
      <c r="E2459" s="75" t="s">
        <v>1266</v>
      </c>
      <c r="F2459" s="75" t="s">
        <v>1268</v>
      </c>
      <c r="G2459" s="75" t="s">
        <v>1268</v>
      </c>
    </row>
    <row r="2460" spans="1:7" x14ac:dyDescent="0.2">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indexed="22"/>
  </sheetPr>
  <dimension ref="A1:CI126"/>
  <sheetViews>
    <sheetView topLeftCell="BU1" zoomScale="70" workbookViewId="0">
      <selection activeCell="A38" sqref="A38:CJ56"/>
    </sheetView>
  </sheetViews>
  <sheetFormatPr baseColWidth="10" defaultColWidth="11.28515625" defaultRowHeight="12" x14ac:dyDescent="0.2"/>
  <cols>
    <col min="1" max="1" width="26.7109375" style="51" bestFit="1" customWidth="1"/>
    <col min="2" max="2" width="9" style="51" bestFit="1" customWidth="1"/>
    <col min="3" max="11" width="7.28515625" style="51" bestFit="1" customWidth="1"/>
    <col min="12" max="12" width="7.7109375" style="51" bestFit="1" customWidth="1"/>
    <col min="13" max="17" width="7.28515625" style="51" bestFit="1" customWidth="1"/>
    <col min="18" max="18" width="9.28515625" style="51" customWidth="1"/>
    <col min="19" max="20" width="7" style="51" bestFit="1" customWidth="1"/>
    <col min="21" max="21" width="7.28515625" style="51" bestFit="1" customWidth="1"/>
    <col min="22" max="22" width="7.140625" style="51" bestFit="1" customWidth="1"/>
    <col min="23" max="23" width="7" style="51" bestFit="1" customWidth="1"/>
    <col min="24" max="24" width="7.7109375" style="51" bestFit="1" customWidth="1"/>
    <col min="25" max="25" width="7.28515625" style="51" bestFit="1" customWidth="1"/>
    <col min="26" max="26" width="7" style="51" bestFit="1" customWidth="1"/>
    <col min="27" max="27" width="7.140625" style="51" bestFit="1" customWidth="1"/>
    <col min="28" max="35" width="7.28515625" style="51" bestFit="1" customWidth="1"/>
    <col min="36" max="36" width="7.7109375" style="51" bestFit="1" customWidth="1"/>
    <col min="37" max="42" width="7.28515625" style="51" bestFit="1" customWidth="1"/>
    <col min="43" max="43" width="7.7109375" style="51" bestFit="1" customWidth="1"/>
    <col min="44" max="47" width="7.28515625" style="51" bestFit="1" customWidth="1"/>
    <col min="48" max="48" width="7.7109375" style="51" bestFit="1" customWidth="1"/>
    <col min="49" max="59" width="7.28515625" style="51" bestFit="1" customWidth="1"/>
    <col min="60" max="60" width="7.7109375" style="51" bestFit="1" customWidth="1"/>
    <col min="61" max="65" width="7.28515625" style="51" bestFit="1" customWidth="1"/>
    <col min="66" max="67" width="7.7109375" style="51" bestFit="1" customWidth="1"/>
    <col min="68" max="75" width="7.28515625" style="51" bestFit="1" customWidth="1"/>
    <col min="76" max="76" width="8.85546875" style="51" bestFit="1" customWidth="1"/>
    <col min="77" max="85" width="7.28515625" style="51" bestFit="1" customWidth="1"/>
    <col min="86" max="87" width="7" style="51" bestFit="1" customWidth="1"/>
    <col min="88" max="16384" width="11.28515625" style="51"/>
  </cols>
  <sheetData>
    <row r="1" spans="1:21" ht="26.45" customHeight="1" x14ac:dyDescent="0.25">
      <c r="A1" s="50" t="s">
        <v>1404</v>
      </c>
      <c r="E1" s="534" t="s">
        <v>1405</v>
      </c>
      <c r="F1" s="535"/>
      <c r="G1" s="535"/>
      <c r="H1" s="535"/>
      <c r="I1" s="535"/>
      <c r="J1" s="535"/>
      <c r="K1" s="535"/>
      <c r="L1" s="535"/>
      <c r="M1" s="535"/>
      <c r="N1" s="535"/>
      <c r="O1" s="535"/>
      <c r="P1" s="535"/>
      <c r="Q1" s="535"/>
      <c r="R1" s="535"/>
      <c r="S1" s="535"/>
      <c r="T1" s="535"/>
      <c r="U1" s="535"/>
    </row>
    <row r="2" spans="1:21" ht="26.45" customHeight="1" x14ac:dyDescent="0.25">
      <c r="A2" s="50"/>
    </row>
    <row r="3" spans="1:21" s="63" customFormat="1" ht="12.75" x14ac:dyDescent="0.2">
      <c r="Q3" s="1" t="s">
        <v>2356</v>
      </c>
    </row>
    <row r="4" spans="1:21" s="63" customFormat="1" x14ac:dyDescent="0.2"/>
    <row r="5" spans="1:21" s="63" customFormat="1" x14ac:dyDescent="0.2"/>
    <row r="6" spans="1:21" s="63" customFormat="1" x14ac:dyDescent="0.2"/>
    <row r="7" spans="1:21" s="63" customFormat="1" x14ac:dyDescent="0.2"/>
    <row r="8" spans="1:21" s="63" customFormat="1" x14ac:dyDescent="0.2"/>
    <row r="9" spans="1:21" s="63" customFormat="1" x14ac:dyDescent="0.2"/>
    <row r="10" spans="1:21" s="63" customFormat="1" x14ac:dyDescent="0.2"/>
    <row r="11" spans="1:21" s="63" customFormat="1" x14ac:dyDescent="0.2"/>
    <row r="12" spans="1:21" s="63" customFormat="1" x14ac:dyDescent="0.2"/>
    <row r="13" spans="1:21" s="63" customFormat="1" x14ac:dyDescent="0.2"/>
    <row r="14" spans="1:21" s="63" customFormat="1" x14ac:dyDescent="0.2"/>
    <row r="15" spans="1:21" s="63" customFormat="1" x14ac:dyDescent="0.2"/>
    <row r="16" spans="1:21" s="63" customFormat="1" x14ac:dyDescent="0.2"/>
    <row r="17" s="63" customFormat="1" x14ac:dyDescent="0.2"/>
    <row r="18" s="63" customFormat="1" x14ac:dyDescent="0.2"/>
    <row r="19" s="63" customFormat="1" x14ac:dyDescent="0.2"/>
    <row r="20" s="63" customFormat="1" x14ac:dyDescent="0.2"/>
    <row r="21" s="63" customFormat="1" x14ac:dyDescent="0.2"/>
    <row r="22" s="63" customFormat="1" x14ac:dyDescent="0.2"/>
    <row r="23" s="63" customFormat="1" x14ac:dyDescent="0.2"/>
    <row r="24" s="63" customFormat="1" x14ac:dyDescent="0.2"/>
    <row r="25" s="63" customFormat="1" x14ac:dyDescent="0.2"/>
    <row r="26" s="63" customFormat="1" x14ac:dyDescent="0.2"/>
    <row r="27" s="63" customFormat="1" x14ac:dyDescent="0.2"/>
    <row r="28" s="63" customFormat="1" x14ac:dyDescent="0.2"/>
    <row r="29" s="63" customFormat="1" x14ac:dyDescent="0.2"/>
    <row r="30" s="63" customFormat="1" x14ac:dyDescent="0.2"/>
    <row r="31" s="63" customFormat="1" x14ac:dyDescent="0.2"/>
    <row r="32" s="63" customFormat="1" x14ac:dyDescent="0.2"/>
    <row r="33" spans="1:87" s="63" customFormat="1" x14ac:dyDescent="0.2"/>
    <row r="34" spans="1:87" s="63" customFormat="1" x14ac:dyDescent="0.2"/>
    <row r="35" spans="1:87" s="63" customFormat="1" ht="12.75" x14ac:dyDescent="0.2">
      <c r="A35" s="53" t="s">
        <v>2360</v>
      </c>
    </row>
    <row r="36" spans="1:87" s="63" customFormat="1" ht="14.25" x14ac:dyDescent="0.2">
      <c r="A36" s="52" t="s">
        <v>2365</v>
      </c>
    </row>
    <row r="37" spans="1:87" s="63" customFormat="1" x14ac:dyDescent="0.2">
      <c r="A37" s="52" t="s">
        <v>2364</v>
      </c>
    </row>
    <row r="38" spans="1:87" s="63" customFormat="1" x14ac:dyDescent="0.2">
      <c r="B38" s="52"/>
    </row>
    <row r="39" spans="1:87" s="63" customFormat="1" x14ac:dyDescent="0.2">
      <c r="A39" s="64"/>
      <c r="B39" s="64" t="s">
        <v>2300</v>
      </c>
      <c r="C39" s="65">
        <v>37288</v>
      </c>
      <c r="D39" s="64" t="s">
        <v>2301</v>
      </c>
      <c r="E39" s="65">
        <v>37347</v>
      </c>
      <c r="F39" s="64" t="s">
        <v>2302</v>
      </c>
      <c r="G39" s="65">
        <v>37408</v>
      </c>
      <c r="H39" s="65">
        <v>37438</v>
      </c>
      <c r="I39" s="65">
        <v>37469</v>
      </c>
      <c r="J39" s="65">
        <v>37500</v>
      </c>
      <c r="K39" s="64" t="s">
        <v>2303</v>
      </c>
      <c r="L39" s="65">
        <v>37561</v>
      </c>
      <c r="M39" s="64" t="s">
        <v>2304</v>
      </c>
      <c r="N39" s="64" t="s">
        <v>2305</v>
      </c>
      <c r="O39" s="66">
        <v>37653</v>
      </c>
      <c r="P39" s="64" t="s">
        <v>2306</v>
      </c>
      <c r="Q39" s="66">
        <v>37712</v>
      </c>
      <c r="R39" s="64" t="s">
        <v>2307</v>
      </c>
      <c r="S39" s="66">
        <v>37773</v>
      </c>
      <c r="T39" s="66">
        <v>37803</v>
      </c>
      <c r="U39" s="66">
        <v>37834</v>
      </c>
      <c r="V39" s="66">
        <v>37865</v>
      </c>
      <c r="W39" s="64" t="s">
        <v>2308</v>
      </c>
      <c r="X39" s="66">
        <v>37926</v>
      </c>
      <c r="Y39" s="64" t="s">
        <v>2309</v>
      </c>
      <c r="Z39" s="64" t="s">
        <v>2310</v>
      </c>
      <c r="AA39" s="66">
        <v>38018</v>
      </c>
      <c r="AB39" s="64" t="s">
        <v>2311</v>
      </c>
      <c r="AC39" s="66">
        <v>38078</v>
      </c>
      <c r="AD39" s="64" t="s">
        <v>2312</v>
      </c>
      <c r="AE39" s="66">
        <v>38139</v>
      </c>
      <c r="AF39" s="66">
        <v>38169</v>
      </c>
      <c r="AG39" s="66">
        <v>38200</v>
      </c>
      <c r="AH39" s="66">
        <v>38231</v>
      </c>
      <c r="AI39" s="64" t="s">
        <v>2313</v>
      </c>
      <c r="AJ39" s="66">
        <v>38292</v>
      </c>
      <c r="AK39" s="64" t="s">
        <v>2314</v>
      </c>
      <c r="AL39" s="66" t="s">
        <v>2315</v>
      </c>
      <c r="AM39" s="66">
        <v>38384</v>
      </c>
      <c r="AN39" s="66" t="s">
        <v>2316</v>
      </c>
      <c r="AO39" s="65">
        <v>38443</v>
      </c>
      <c r="AP39" s="66" t="s">
        <v>2317</v>
      </c>
      <c r="AQ39" s="65" t="s">
        <v>2318</v>
      </c>
      <c r="AR39" s="64" t="s">
        <v>2319</v>
      </c>
      <c r="AS39" s="67">
        <v>38565</v>
      </c>
      <c r="AT39" s="67">
        <v>38596</v>
      </c>
      <c r="AU39" s="67" t="s">
        <v>2320</v>
      </c>
      <c r="AV39" s="65">
        <v>38657</v>
      </c>
      <c r="AW39" s="64" t="s">
        <v>2321</v>
      </c>
      <c r="AX39" s="65" t="s">
        <v>2326</v>
      </c>
      <c r="AY39" s="65">
        <v>38749</v>
      </c>
      <c r="AZ39" s="65" t="s">
        <v>2327</v>
      </c>
      <c r="BA39" s="67">
        <v>38808</v>
      </c>
      <c r="BB39" s="65" t="s">
        <v>2328</v>
      </c>
      <c r="BC39" s="67">
        <v>38869</v>
      </c>
      <c r="BD39" s="67">
        <v>38899</v>
      </c>
      <c r="BE39" s="67">
        <v>38930</v>
      </c>
      <c r="BF39" s="67">
        <v>38961</v>
      </c>
      <c r="BG39" s="67" t="s">
        <v>2329</v>
      </c>
      <c r="BH39" s="67">
        <v>39022</v>
      </c>
      <c r="BI39" s="67" t="s">
        <v>2330</v>
      </c>
      <c r="BJ39" s="67" t="s">
        <v>2331</v>
      </c>
      <c r="BK39" s="67">
        <v>39114</v>
      </c>
      <c r="BL39" s="67" t="s">
        <v>2332</v>
      </c>
      <c r="BM39" s="67">
        <v>39173</v>
      </c>
      <c r="BN39" s="67" t="s">
        <v>2333</v>
      </c>
      <c r="BO39" s="67" t="s">
        <v>2334</v>
      </c>
      <c r="BP39" s="64" t="s">
        <v>2335</v>
      </c>
      <c r="BQ39" s="65">
        <v>39295</v>
      </c>
      <c r="BR39" s="65">
        <v>39326</v>
      </c>
      <c r="BS39" s="64" t="s">
        <v>2336</v>
      </c>
      <c r="BT39" s="65">
        <v>39387</v>
      </c>
      <c r="BU39" s="65">
        <v>39417</v>
      </c>
      <c r="BV39" s="64" t="s">
        <v>2337</v>
      </c>
      <c r="BW39" s="65">
        <v>39479</v>
      </c>
      <c r="BX39" s="65" t="s">
        <v>2338</v>
      </c>
      <c r="BY39" s="65">
        <v>39539</v>
      </c>
      <c r="BZ39" s="65">
        <v>39569</v>
      </c>
      <c r="CA39" s="65">
        <v>39600</v>
      </c>
      <c r="CB39" s="65">
        <v>39630</v>
      </c>
      <c r="CC39" s="65">
        <v>39661</v>
      </c>
      <c r="CD39" s="65">
        <v>39692</v>
      </c>
      <c r="CE39" s="65">
        <v>39722</v>
      </c>
      <c r="CF39" s="65">
        <v>39753</v>
      </c>
      <c r="CG39" s="65">
        <v>39783</v>
      </c>
      <c r="CH39" s="64" t="s">
        <v>2339</v>
      </c>
      <c r="CI39" s="65">
        <v>39845</v>
      </c>
    </row>
    <row r="40" spans="1:87" s="63" customFormat="1" x14ac:dyDescent="0.2">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2340</v>
      </c>
      <c r="BK40" s="67">
        <v>39114</v>
      </c>
      <c r="BL40" s="67">
        <v>39142</v>
      </c>
      <c r="BM40" s="67">
        <v>39173</v>
      </c>
      <c r="BN40" s="67">
        <v>39203</v>
      </c>
      <c r="BO40" s="67">
        <v>39234</v>
      </c>
      <c r="BP40" s="65">
        <v>39264</v>
      </c>
      <c r="BQ40" s="65">
        <v>39295</v>
      </c>
      <c r="BR40" s="65">
        <v>39326</v>
      </c>
      <c r="BS40" s="64" t="s">
        <v>2336</v>
      </c>
      <c r="BT40" s="65">
        <v>39387</v>
      </c>
      <c r="BU40" s="65">
        <v>39417</v>
      </c>
      <c r="BV40" s="64" t="s">
        <v>2337</v>
      </c>
      <c r="BW40" s="65">
        <v>39479</v>
      </c>
      <c r="BX40" s="65">
        <v>39508</v>
      </c>
      <c r="BY40" s="65">
        <v>39539</v>
      </c>
      <c r="BZ40" s="65">
        <v>39569</v>
      </c>
      <c r="CA40" s="65">
        <v>39600</v>
      </c>
      <c r="CB40" s="65">
        <v>39630</v>
      </c>
      <c r="CC40" s="65">
        <v>39661</v>
      </c>
      <c r="CD40" s="65">
        <v>39692</v>
      </c>
      <c r="CE40" s="65">
        <v>39722</v>
      </c>
      <c r="CF40" s="65">
        <v>39753</v>
      </c>
      <c r="CG40" s="64" t="s">
        <v>2341</v>
      </c>
      <c r="CH40" s="64" t="s">
        <v>2339</v>
      </c>
      <c r="CI40" s="65">
        <v>39845</v>
      </c>
    </row>
    <row r="41" spans="1:87" s="63" customFormat="1" x14ac:dyDescent="0.2">
      <c r="A41" s="68" t="s">
        <v>2342</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2">
      <c r="A42" s="68" t="s">
        <v>2343</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2">
      <c r="A43" s="68" t="s">
        <v>2344</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2">
      <c r="A44" s="68" t="s">
        <v>2345</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2">
      <c r="A45" s="68" t="s">
        <v>2346</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2">
      <c r="A46" s="68" t="s">
        <v>2347</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2">
      <c r="A47" s="68" t="s">
        <v>2348</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2">
      <c r="A48" s="68" t="s">
        <v>2349</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2">
      <c r="A49" s="68" t="s">
        <v>2350</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2">
      <c r="A50" s="68" t="s">
        <v>2351</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2">
      <c r="A51" s="68" t="s">
        <v>2352</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2">
      <c r="A52" s="68" t="s">
        <v>2353</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2">
      <c r="A53" s="68" t="s">
        <v>2354</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2">
      <c r="A54" s="68" t="s">
        <v>2355</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2.75" x14ac:dyDescent="0.2">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7" customHeight="1" x14ac:dyDescent="0.2"/>
    <row r="94" spans="2:8" x14ac:dyDescent="0.2">
      <c r="B94" s="71" t="s">
        <v>2357</v>
      </c>
      <c r="C94" s="72"/>
      <c r="D94" s="72"/>
      <c r="E94" s="72"/>
      <c r="F94" s="72"/>
      <c r="G94" s="73">
        <f>CI55</f>
        <v>16.013846153846156</v>
      </c>
      <c r="H94" s="72" t="s">
        <v>2358</v>
      </c>
    </row>
    <row r="95" spans="2:8" x14ac:dyDescent="0.2">
      <c r="B95" s="71" t="s">
        <v>2359</v>
      </c>
      <c r="C95" s="72"/>
      <c r="D95" s="72"/>
      <c r="E95" s="72"/>
      <c r="F95" s="72"/>
      <c r="G95" s="72">
        <v>21.5</v>
      </c>
      <c r="H95" s="72" t="s">
        <v>2358</v>
      </c>
    </row>
    <row r="96" spans="2:8" x14ac:dyDescent="0.2">
      <c r="B96" s="71" t="s">
        <v>2361</v>
      </c>
      <c r="C96" s="72"/>
      <c r="D96" s="72"/>
      <c r="E96" s="72"/>
      <c r="F96" s="72"/>
      <c r="G96" s="72">
        <v>5.59</v>
      </c>
      <c r="H96" s="72" t="s">
        <v>2358</v>
      </c>
    </row>
    <row r="97" spans="1:8" x14ac:dyDescent="0.2">
      <c r="B97" s="72"/>
      <c r="C97" s="72"/>
      <c r="D97" s="72"/>
      <c r="E97" s="72"/>
      <c r="F97" s="72"/>
      <c r="G97" s="72"/>
      <c r="H97" s="72"/>
    </row>
    <row r="102" spans="1:8" ht="12.75" x14ac:dyDescent="0.2">
      <c r="A102" s="74">
        <f>$B$55*(1+(D102/100))^7</f>
        <v>16.26260280854213</v>
      </c>
      <c r="D102" s="72">
        <v>1.5</v>
      </c>
    </row>
    <row r="103" spans="1:8" ht="12.75" x14ac:dyDescent="0.2">
      <c r="A103" s="74" t="e">
        <f>Eingabe!$H$79*(1+(Eingabe!$H$105/100))^Berechnungen!#REF!</f>
        <v>#REF!</v>
      </c>
    </row>
    <row r="104" spans="1:8" ht="12.75" x14ac:dyDescent="0.2">
      <c r="A104" s="74" t="e">
        <f>Eingabe!$H$79*(1+(Eingabe!$H$105/100))^Berechnungen!#REF!</f>
        <v>#REF!</v>
      </c>
    </row>
    <row r="105" spans="1:8" ht="12.75" x14ac:dyDescent="0.2">
      <c r="A105" s="74" t="e">
        <f>Eingabe!$H$79*(1+(Eingabe!$H$105/100))^Berechnungen!#REF!</f>
        <v>#REF!</v>
      </c>
    </row>
    <row r="106" spans="1:8" ht="12.75" x14ac:dyDescent="0.2">
      <c r="A106" s="74" t="e">
        <f>Eingabe!$H$79*(1+(Eingabe!$H$105/100))^Berechnungen!#REF!</f>
        <v>#REF!</v>
      </c>
    </row>
    <row r="107" spans="1:8" ht="12.75" x14ac:dyDescent="0.2">
      <c r="A107" s="74" t="e">
        <f>Eingabe!$H$79*(1+(Eingabe!$H$105/100))^Berechnungen!#REF!</f>
        <v>#REF!</v>
      </c>
    </row>
    <row r="108" spans="1:8" ht="12.75" x14ac:dyDescent="0.2">
      <c r="A108" s="74" t="e">
        <f>Eingabe!$H$79*(1+(Eingabe!$H$105/100))^Berechnungen!#REF!</f>
        <v>#REF!</v>
      </c>
    </row>
    <row r="109" spans="1:8" ht="12.75" x14ac:dyDescent="0.2">
      <c r="A109" s="74" t="e">
        <f>Eingabe!$H$79*(1+(Eingabe!$H$105/100))^Berechnungen!#REF!</f>
        <v>#REF!</v>
      </c>
    </row>
    <row r="110" spans="1:8" ht="12.75" x14ac:dyDescent="0.2">
      <c r="A110" s="74" t="e">
        <f>Eingabe!$H$79*(1+(Eingabe!$H$105/100))^Berechnungen!#REF!</f>
        <v>#REF!</v>
      </c>
    </row>
    <row r="111" spans="1:8" ht="12.75" x14ac:dyDescent="0.2">
      <c r="A111" s="74" t="e">
        <f>Eingabe!$H$79*(1+(Eingabe!$H$105/100))^Berechnungen!#REF!</f>
        <v>#REF!</v>
      </c>
    </row>
    <row r="112" spans="1:8" ht="12.75" x14ac:dyDescent="0.2">
      <c r="A112" s="74" t="e">
        <f>Eingabe!$H$79*(1+(Eingabe!$H$105/100))^Berechnungen!#REF!</f>
        <v>#REF!</v>
      </c>
    </row>
    <row r="113" spans="1:1" ht="12.75" x14ac:dyDescent="0.2">
      <c r="A113" s="74" t="e">
        <f>Eingabe!$H$79*(1+(Eingabe!$H$105/100))^Berechnungen!#REF!</f>
        <v>#REF!</v>
      </c>
    </row>
    <row r="114" spans="1:1" ht="12.75" x14ac:dyDescent="0.2">
      <c r="A114" s="74" t="e">
        <f>Eingabe!$H$79*(1+(Eingabe!$H$105/100))^Berechnungen!#REF!</f>
        <v>#REF!</v>
      </c>
    </row>
    <row r="115" spans="1:1" ht="12.75" x14ac:dyDescent="0.2">
      <c r="A115" s="74" t="e">
        <f>Eingabe!$H$79*(1+(Eingabe!$H$105/100))^Berechnungen!#REF!</f>
        <v>#REF!</v>
      </c>
    </row>
    <row r="116" spans="1:1" ht="12.75" x14ac:dyDescent="0.2">
      <c r="A116" s="74" t="e">
        <f>Eingabe!$H$79*(1+(Eingabe!$H$105/100))^Berechnungen!#REF!</f>
        <v>#REF!</v>
      </c>
    </row>
    <row r="117" spans="1:1" ht="12.75" x14ac:dyDescent="0.2">
      <c r="A117" s="74" t="e">
        <f>Eingabe!$H$79*(1+(Eingabe!$H$105/100))^Berechnungen!#REF!</f>
        <v>#REF!</v>
      </c>
    </row>
    <row r="118" spans="1:1" ht="12.75" x14ac:dyDescent="0.2">
      <c r="A118" s="74" t="e">
        <f>Eingabe!$H$79*(1+(Eingabe!$H$105/100))^Berechnungen!#REF!</f>
        <v>#REF!</v>
      </c>
    </row>
    <row r="119" spans="1:1" ht="12.75" x14ac:dyDescent="0.2">
      <c r="A119" s="74" t="e">
        <f>Eingabe!$H$79*(1+(Eingabe!$H$105/100))^Berechnungen!#REF!</f>
        <v>#REF!</v>
      </c>
    </row>
    <row r="120" spans="1:1" ht="12.75" x14ac:dyDescent="0.2">
      <c r="A120" s="74" t="e">
        <f>Eingabe!$H$79*(1+(Eingabe!$H$105/100))^Berechnungen!#REF!</f>
        <v>#REF!</v>
      </c>
    </row>
    <row r="121" spans="1:1" ht="12.75" x14ac:dyDescent="0.2">
      <c r="A121" s="74" t="e">
        <f>Eingabe!$H$79*(1+(Eingabe!$H$105/100))^Berechnungen!#REF!</f>
        <v>#REF!</v>
      </c>
    </row>
    <row r="122" spans="1:1" ht="12.75" x14ac:dyDescent="0.2">
      <c r="A122" s="74" t="e">
        <f>Eingabe!$H$79*(1+(Eingabe!$H$105/100))^Berechnungen!#REF!</f>
        <v>#REF!</v>
      </c>
    </row>
    <row r="123" spans="1:1" ht="12.75" x14ac:dyDescent="0.2">
      <c r="A123" s="74" t="e">
        <f>Eingabe!$H$79*(1+(Eingabe!$H$105/100))^Berechnungen!#REF!</f>
        <v>#REF!</v>
      </c>
    </row>
    <row r="124" spans="1:1" ht="12.75" x14ac:dyDescent="0.2">
      <c r="A124" s="74" t="e">
        <f>Eingabe!$H$79*(1+(Eingabe!$H$105/100))^Berechnungen!#REF!</f>
        <v>#REF!</v>
      </c>
    </row>
    <row r="125" spans="1:1" ht="12.75" x14ac:dyDescent="0.2">
      <c r="A125" s="74" t="e">
        <f>Eingabe!$H$79*(1+(Eingabe!$H$105/100))^Berechnungen!#REF!</f>
        <v>#REF!</v>
      </c>
    </row>
    <row r="126" spans="1:1" ht="12.75" x14ac:dyDescent="0.2">
      <c r="A126" s="74" t="e">
        <f>Eingabe!$H$79*(1+(Eingabe!$H$105/100))^Berechnungen!#REF!</f>
        <v>#REF!</v>
      </c>
    </row>
  </sheetData>
  <sheetProtection selectLockedCells="1"/>
  <mergeCells count="1">
    <mergeCell ref="E1:U1"/>
  </mergeCells>
  <phoneticPr fontId="0" type="noConversion"/>
  <hyperlinks>
    <hyperlink ref="E1" r:id="rId1" xr:uid="{00000000-0004-0000-0800-000000000000}"/>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JETZINGER Franz</cp:lastModifiedBy>
  <cp:lastPrinted>2023-01-31T12:48:17Z</cp:lastPrinted>
  <dcterms:created xsi:type="dcterms:W3CDTF">1996-10-17T05:27:31Z</dcterms:created>
  <dcterms:modified xsi:type="dcterms:W3CDTF">2024-02-22T14:23:21Z</dcterms:modified>
</cp:coreProperties>
</file>